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25665" windowHeight="6075" tabRatio="655" activeTab="1"/>
  </bookViews>
  <sheets>
    <sheet name="Read Me" sheetId="4" r:id="rId1"/>
    <sheet name="Calculation" sheetId="3" r:id="rId2"/>
    <sheet name="Model" sheetId="2" r:id="rId3"/>
    <sheet name="Inputs" sheetId="1" r:id="rId4"/>
  </sheets>
  <definedNames>
    <definedName name="AOName">Model!$D$3:$D$81</definedName>
    <definedName name="DME_Dirty_LA_metrics_output.xls" hidden="1">"False"</definedName>
    <definedName name="_xlnm.Print_Area" localSheetId="1">Calculation!$A$1:$L$49</definedName>
    <definedName name="_xlnm.Print_Area" localSheetId="0">'Read Me'!$A$1:$K$53</definedName>
  </definedNames>
  <calcPr calcId="145621"/>
</workbook>
</file>

<file path=xl/calcChain.xml><?xml version="1.0" encoding="utf-8"?>
<calcChain xmlns="http://schemas.openxmlformats.org/spreadsheetml/2006/main">
  <c r="E25" i="3" l="1"/>
  <c r="E26" i="3" s="1"/>
  <c r="B9" i="3" l="1"/>
  <c r="A9" i="3"/>
  <c r="C8" i="3"/>
  <c r="B8" i="3"/>
  <c r="A8" i="3"/>
  <c r="C7" i="3"/>
  <c r="C6" i="3"/>
  <c r="B7" i="3"/>
  <c r="B6" i="3"/>
  <c r="A7" i="3"/>
  <c r="A6" i="3"/>
  <c r="A5" i="3"/>
  <c r="C5" i="3"/>
  <c r="B5" i="3"/>
  <c r="R11" i="2" l="1"/>
  <c r="S4" i="1"/>
  <c r="P3" i="3" l="1"/>
  <c r="R3" i="3" l="1"/>
  <c r="AG2" i="2"/>
  <c r="Q3" i="3" s="1"/>
  <c r="AF81" i="2" l="1"/>
  <c r="P82" i="3" s="1"/>
  <c r="S74" i="1" l="1"/>
  <c r="S75" i="1"/>
  <c r="S77" i="1"/>
  <c r="S73" i="1"/>
  <c r="S76" i="1"/>
  <c r="S79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68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64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72" i="1"/>
  <c r="S78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81" i="1" l="1"/>
  <c r="S80" i="1"/>
  <c r="C15" i="3" l="1"/>
  <c r="C14" i="3"/>
  <c r="R15" i="2" l="1"/>
  <c r="R13" i="2"/>
  <c r="R12" i="2"/>
  <c r="R10" i="2"/>
  <c r="P82" i="1" l="1"/>
  <c r="O82" i="1"/>
  <c r="R82" i="1" l="1"/>
  <c r="T81" i="2" s="1"/>
  <c r="Q82" i="1"/>
  <c r="AG81" i="2" l="1"/>
  <c r="Q82" i="3" s="1"/>
  <c r="M2" i="2" l="1"/>
  <c r="J2" i="2"/>
  <c r="L2" i="2"/>
  <c r="I2" i="2"/>
  <c r="K2" i="2"/>
  <c r="H2" i="2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R8" i="1" s="1"/>
  <c r="O8" i="1"/>
  <c r="P7" i="1"/>
  <c r="O7" i="1"/>
  <c r="P6" i="1"/>
  <c r="R6" i="1" s="1"/>
  <c r="O6" i="1"/>
  <c r="P5" i="1"/>
  <c r="O5" i="1"/>
  <c r="P4" i="1"/>
  <c r="R4" i="1" s="1"/>
  <c r="O4" i="1"/>
  <c r="R10" i="1" l="1"/>
  <c r="R12" i="1"/>
  <c r="R14" i="1"/>
  <c r="R16" i="1"/>
  <c r="R18" i="1"/>
  <c r="R20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52" i="1"/>
  <c r="R54" i="1"/>
  <c r="R56" i="1"/>
  <c r="R58" i="1"/>
  <c r="R60" i="1"/>
  <c r="R62" i="1"/>
  <c r="R64" i="1"/>
  <c r="R66" i="1"/>
  <c r="R68" i="1"/>
  <c r="R70" i="1"/>
  <c r="R72" i="1"/>
  <c r="R74" i="1"/>
  <c r="R76" i="1"/>
  <c r="R78" i="1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0" i="1"/>
  <c r="Q5" i="1"/>
  <c r="Q7" i="1"/>
  <c r="Q9" i="1"/>
  <c r="Q11" i="1"/>
  <c r="Q13" i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Q47" i="1"/>
  <c r="Q49" i="1"/>
  <c r="Q51" i="1"/>
  <c r="Q53" i="1"/>
  <c r="Q55" i="1"/>
  <c r="Q57" i="1"/>
  <c r="Q59" i="1"/>
  <c r="Q61" i="1"/>
  <c r="Q63" i="1"/>
  <c r="Q65" i="1"/>
  <c r="Q67" i="1"/>
  <c r="Q69" i="1"/>
  <c r="Q71" i="1"/>
  <c r="Q73" i="1"/>
  <c r="Q75" i="1"/>
  <c r="Q77" i="1"/>
  <c r="Q79" i="1"/>
  <c r="Q81" i="1"/>
  <c r="Q4" i="1"/>
  <c r="Q6" i="1"/>
  <c r="Q10" i="1"/>
  <c r="Q12" i="1"/>
  <c r="Q14" i="1"/>
  <c r="Q16" i="1"/>
  <c r="Q18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Q60" i="1"/>
  <c r="Q62" i="1"/>
  <c r="Q64" i="1"/>
  <c r="Q66" i="1"/>
  <c r="Q68" i="1"/>
  <c r="Q70" i="1"/>
  <c r="Q72" i="1"/>
  <c r="Q74" i="1"/>
  <c r="Q8" i="1"/>
  <c r="Q76" i="1"/>
  <c r="Q78" i="1"/>
  <c r="Q80" i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3" i="2"/>
  <c r="G73" i="2" l="1"/>
  <c r="F73" i="2"/>
  <c r="E73" i="2"/>
  <c r="D73" i="2"/>
  <c r="AF73" i="2" s="1"/>
  <c r="P74" i="3" s="1"/>
  <c r="G69" i="2"/>
  <c r="F69" i="2"/>
  <c r="E69" i="2"/>
  <c r="D69" i="2"/>
  <c r="AF69" i="2" s="1"/>
  <c r="P70" i="3" s="1"/>
  <c r="G61" i="2"/>
  <c r="F61" i="2"/>
  <c r="E61" i="2"/>
  <c r="D61" i="2"/>
  <c r="AF61" i="2" s="1"/>
  <c r="P62" i="3" s="1"/>
  <c r="G57" i="2"/>
  <c r="F57" i="2"/>
  <c r="E57" i="2"/>
  <c r="D57" i="2"/>
  <c r="AF57" i="2" s="1"/>
  <c r="P58" i="3" s="1"/>
  <c r="G53" i="2"/>
  <c r="F53" i="2"/>
  <c r="E53" i="2"/>
  <c r="D53" i="2"/>
  <c r="G49" i="2"/>
  <c r="F49" i="2"/>
  <c r="E49" i="2"/>
  <c r="D49" i="2"/>
  <c r="AF49" i="2" s="1"/>
  <c r="P50" i="3" s="1"/>
  <c r="G45" i="2"/>
  <c r="F45" i="2"/>
  <c r="E45" i="2"/>
  <c r="D45" i="2"/>
  <c r="AF45" i="2" s="1"/>
  <c r="P46" i="3" s="1"/>
  <c r="G41" i="2"/>
  <c r="F41" i="2"/>
  <c r="E41" i="2"/>
  <c r="D41" i="2"/>
  <c r="AF41" i="2" s="1"/>
  <c r="P42" i="3" s="1"/>
  <c r="G37" i="2"/>
  <c r="F37" i="2"/>
  <c r="E37" i="2"/>
  <c r="D37" i="2"/>
  <c r="AF37" i="2" s="1"/>
  <c r="P38" i="3" s="1"/>
  <c r="G33" i="2"/>
  <c r="F33" i="2"/>
  <c r="E33" i="2"/>
  <c r="D33" i="2"/>
  <c r="AF33" i="2" s="1"/>
  <c r="P34" i="3" s="1"/>
  <c r="G29" i="2"/>
  <c r="F29" i="2"/>
  <c r="E29" i="2"/>
  <c r="D29" i="2"/>
  <c r="AF29" i="2" s="1"/>
  <c r="P30" i="3" s="1"/>
  <c r="G25" i="2"/>
  <c r="F25" i="2"/>
  <c r="E25" i="2"/>
  <c r="D25" i="2"/>
  <c r="AF25" i="2" s="1"/>
  <c r="P26" i="3" s="1"/>
  <c r="G21" i="2"/>
  <c r="F21" i="2"/>
  <c r="E21" i="2"/>
  <c r="D21" i="2"/>
  <c r="AF21" i="2" s="1"/>
  <c r="P22" i="3" s="1"/>
  <c r="G17" i="2"/>
  <c r="F17" i="2"/>
  <c r="D17" i="2"/>
  <c r="AF17" i="2" s="1"/>
  <c r="P18" i="3" s="1"/>
  <c r="E17" i="2"/>
  <c r="G13" i="2"/>
  <c r="F13" i="2"/>
  <c r="E13" i="2"/>
  <c r="D13" i="2"/>
  <c r="AF13" i="2" s="1"/>
  <c r="P14" i="3" s="1"/>
  <c r="F9" i="2"/>
  <c r="E9" i="2"/>
  <c r="D9" i="2"/>
  <c r="AF9" i="2" s="1"/>
  <c r="P10" i="3" s="1"/>
  <c r="G9" i="2"/>
  <c r="F5" i="2"/>
  <c r="E5" i="2"/>
  <c r="D5" i="2"/>
  <c r="AF5" i="2" s="1"/>
  <c r="P6" i="3" s="1"/>
  <c r="G5" i="2"/>
  <c r="D3" i="2"/>
  <c r="G3" i="2"/>
  <c r="F3" i="2"/>
  <c r="E3" i="2"/>
  <c r="G77" i="2"/>
  <c r="F77" i="2"/>
  <c r="E77" i="2"/>
  <c r="D77" i="2"/>
  <c r="AF77" i="2" s="1"/>
  <c r="P78" i="3" s="1"/>
  <c r="G65" i="2"/>
  <c r="F65" i="2"/>
  <c r="E65" i="2"/>
  <c r="D65" i="2"/>
  <c r="AF65" i="2" s="1"/>
  <c r="P66" i="3" s="1"/>
  <c r="D80" i="2"/>
  <c r="AF80" i="2" s="1"/>
  <c r="P81" i="3" s="1"/>
  <c r="G80" i="2"/>
  <c r="F80" i="2"/>
  <c r="E80" i="2"/>
  <c r="D76" i="2"/>
  <c r="AF76" i="2" s="1"/>
  <c r="P77" i="3" s="1"/>
  <c r="G76" i="2"/>
  <c r="F76" i="2"/>
  <c r="E76" i="2"/>
  <c r="D72" i="2"/>
  <c r="G72" i="2"/>
  <c r="F72" i="2"/>
  <c r="E72" i="2"/>
  <c r="D68" i="2"/>
  <c r="AF68" i="2" s="1"/>
  <c r="P69" i="3" s="1"/>
  <c r="G68" i="2"/>
  <c r="F68" i="2"/>
  <c r="E68" i="2"/>
  <c r="D64" i="2"/>
  <c r="AF64" i="2" s="1"/>
  <c r="P65" i="3" s="1"/>
  <c r="G64" i="2"/>
  <c r="F64" i="2"/>
  <c r="E64" i="2"/>
  <c r="D60" i="2"/>
  <c r="AF60" i="2" s="1"/>
  <c r="P61" i="3" s="1"/>
  <c r="G60" i="2"/>
  <c r="F60" i="2"/>
  <c r="E60" i="2"/>
  <c r="D56" i="2"/>
  <c r="AF56" i="2" s="1"/>
  <c r="P57" i="3" s="1"/>
  <c r="G56" i="2"/>
  <c r="F56" i="2"/>
  <c r="E56" i="2"/>
  <c r="D52" i="2"/>
  <c r="G52" i="2"/>
  <c r="F52" i="2"/>
  <c r="E52" i="2"/>
  <c r="D48" i="2"/>
  <c r="G48" i="2"/>
  <c r="F48" i="2"/>
  <c r="E48" i="2"/>
  <c r="D44" i="2"/>
  <c r="AF44" i="2" s="1"/>
  <c r="P45" i="3" s="1"/>
  <c r="G44" i="2"/>
  <c r="F44" i="2"/>
  <c r="E44" i="2"/>
  <c r="D40" i="2"/>
  <c r="AF40" i="2" s="1"/>
  <c r="P41" i="3" s="1"/>
  <c r="G40" i="2"/>
  <c r="F40" i="2"/>
  <c r="E40" i="2"/>
  <c r="D36" i="2"/>
  <c r="AF36" i="2" s="1"/>
  <c r="P37" i="3" s="1"/>
  <c r="G36" i="2"/>
  <c r="F36" i="2"/>
  <c r="E36" i="2"/>
  <c r="D32" i="2"/>
  <c r="AF32" i="2" s="1"/>
  <c r="P33" i="3" s="1"/>
  <c r="G32" i="2"/>
  <c r="F32" i="2"/>
  <c r="E32" i="2"/>
  <c r="D28" i="2"/>
  <c r="AF28" i="2" s="1"/>
  <c r="P29" i="3" s="1"/>
  <c r="G28" i="2"/>
  <c r="F28" i="2"/>
  <c r="E28" i="2"/>
  <c r="D24" i="2"/>
  <c r="AF24" i="2" s="1"/>
  <c r="P25" i="3" s="1"/>
  <c r="G24" i="2"/>
  <c r="F24" i="2"/>
  <c r="E24" i="2"/>
  <c r="D20" i="2"/>
  <c r="AF20" i="2" s="1"/>
  <c r="P21" i="3" s="1"/>
  <c r="G20" i="2"/>
  <c r="F20" i="2"/>
  <c r="E20" i="2"/>
  <c r="D16" i="2"/>
  <c r="AF16" i="2" s="1"/>
  <c r="P17" i="3" s="1"/>
  <c r="G16" i="2"/>
  <c r="F16" i="2"/>
  <c r="E16" i="2"/>
  <c r="G12" i="2"/>
  <c r="F12" i="2"/>
  <c r="E12" i="2"/>
  <c r="D12" i="2"/>
  <c r="AF12" i="2" s="1"/>
  <c r="P13" i="3" s="1"/>
  <c r="G8" i="2"/>
  <c r="F8" i="2"/>
  <c r="E8" i="2"/>
  <c r="D8" i="2"/>
  <c r="AF8" i="2" s="1"/>
  <c r="P9" i="3" s="1"/>
  <c r="G4" i="2"/>
  <c r="F4" i="2"/>
  <c r="E4" i="2"/>
  <c r="D4" i="2"/>
  <c r="AF4" i="2" s="1"/>
  <c r="P5" i="3" s="1"/>
  <c r="E79" i="2"/>
  <c r="D79" i="2"/>
  <c r="AF79" i="2" s="1"/>
  <c r="P80" i="3" s="1"/>
  <c r="G79" i="2"/>
  <c r="F79" i="2"/>
  <c r="E75" i="2"/>
  <c r="D75" i="2"/>
  <c r="G75" i="2"/>
  <c r="F75" i="2"/>
  <c r="E71" i="2"/>
  <c r="D71" i="2"/>
  <c r="AF71" i="2" s="1"/>
  <c r="P72" i="3" s="1"/>
  <c r="G71" i="2"/>
  <c r="F71" i="2"/>
  <c r="E67" i="2"/>
  <c r="D67" i="2"/>
  <c r="G67" i="2"/>
  <c r="F67" i="2"/>
  <c r="E63" i="2"/>
  <c r="D63" i="2"/>
  <c r="AF63" i="2" s="1"/>
  <c r="P64" i="3" s="1"/>
  <c r="G63" i="2"/>
  <c r="F63" i="2"/>
  <c r="E59" i="2"/>
  <c r="D59" i="2"/>
  <c r="G59" i="2"/>
  <c r="F59" i="2"/>
  <c r="E55" i="2"/>
  <c r="D55" i="2"/>
  <c r="AF55" i="2" s="1"/>
  <c r="P56" i="3" s="1"/>
  <c r="G55" i="2"/>
  <c r="F55" i="2"/>
  <c r="E51" i="2"/>
  <c r="D51" i="2"/>
  <c r="AF51" i="2" s="1"/>
  <c r="P52" i="3" s="1"/>
  <c r="G51" i="2"/>
  <c r="F51" i="2"/>
  <c r="E47" i="2"/>
  <c r="D47" i="2"/>
  <c r="AF47" i="2" s="1"/>
  <c r="P48" i="3" s="1"/>
  <c r="G47" i="2"/>
  <c r="F47" i="2"/>
  <c r="E43" i="2"/>
  <c r="D43" i="2"/>
  <c r="G43" i="2"/>
  <c r="F43" i="2"/>
  <c r="E39" i="2"/>
  <c r="D39" i="2"/>
  <c r="AF39" i="2" s="1"/>
  <c r="P40" i="3" s="1"/>
  <c r="G39" i="2"/>
  <c r="F39" i="2"/>
  <c r="E35" i="2"/>
  <c r="D35" i="2"/>
  <c r="AF35" i="2" s="1"/>
  <c r="P36" i="3" s="1"/>
  <c r="G35" i="2"/>
  <c r="F35" i="2"/>
  <c r="E31" i="2"/>
  <c r="D31" i="2"/>
  <c r="AF31" i="2" s="1"/>
  <c r="P32" i="3" s="1"/>
  <c r="G31" i="2"/>
  <c r="F31" i="2"/>
  <c r="E27" i="2"/>
  <c r="D27" i="2"/>
  <c r="AF27" i="2" s="1"/>
  <c r="P28" i="3" s="1"/>
  <c r="G27" i="2"/>
  <c r="F27" i="2"/>
  <c r="E23" i="2"/>
  <c r="D23" i="2"/>
  <c r="AF23" i="2" s="1"/>
  <c r="P24" i="3" s="1"/>
  <c r="G23" i="2"/>
  <c r="F23" i="2"/>
  <c r="E19" i="2"/>
  <c r="D19" i="2"/>
  <c r="AF19" i="2" s="1"/>
  <c r="P20" i="3" s="1"/>
  <c r="G19" i="2"/>
  <c r="F19" i="2"/>
  <c r="E15" i="2"/>
  <c r="D15" i="2"/>
  <c r="AF15" i="2" s="1"/>
  <c r="P16" i="3" s="1"/>
  <c r="F15" i="2"/>
  <c r="G15" i="2"/>
  <c r="D11" i="2"/>
  <c r="AF11" i="2" s="1"/>
  <c r="P12" i="3" s="1"/>
  <c r="G11" i="2"/>
  <c r="F11" i="2"/>
  <c r="E11" i="2"/>
  <c r="D7" i="2"/>
  <c r="AF7" i="2" s="1"/>
  <c r="P8" i="3" s="1"/>
  <c r="G7" i="2"/>
  <c r="F7" i="2"/>
  <c r="E7" i="2"/>
  <c r="F78" i="2"/>
  <c r="E78" i="2"/>
  <c r="D78" i="2"/>
  <c r="AF78" i="2" s="1"/>
  <c r="P79" i="3" s="1"/>
  <c r="G78" i="2"/>
  <c r="F74" i="2"/>
  <c r="E74" i="2"/>
  <c r="D74" i="2"/>
  <c r="AF74" i="2" s="1"/>
  <c r="P75" i="3" s="1"/>
  <c r="G74" i="2"/>
  <c r="F70" i="2"/>
  <c r="E70" i="2"/>
  <c r="D70" i="2"/>
  <c r="AF70" i="2" s="1"/>
  <c r="P71" i="3" s="1"/>
  <c r="G70" i="2"/>
  <c r="F66" i="2"/>
  <c r="E66" i="2"/>
  <c r="D66" i="2"/>
  <c r="AF66" i="2" s="1"/>
  <c r="P67" i="3" s="1"/>
  <c r="G66" i="2"/>
  <c r="F62" i="2"/>
  <c r="E62" i="2"/>
  <c r="D62" i="2"/>
  <c r="AF62" i="2" s="1"/>
  <c r="P63" i="3" s="1"/>
  <c r="G62" i="2"/>
  <c r="F58" i="2"/>
  <c r="E58" i="2"/>
  <c r="D58" i="2"/>
  <c r="AF58" i="2" s="1"/>
  <c r="P59" i="3" s="1"/>
  <c r="G58" i="2"/>
  <c r="F54" i="2"/>
  <c r="E54" i="2"/>
  <c r="D54" i="2"/>
  <c r="AF54" i="2" s="1"/>
  <c r="P55" i="3" s="1"/>
  <c r="G54" i="2"/>
  <c r="F50" i="2"/>
  <c r="E50" i="2"/>
  <c r="D50" i="2"/>
  <c r="AF50" i="2" s="1"/>
  <c r="P51" i="3" s="1"/>
  <c r="G50" i="2"/>
  <c r="F46" i="2"/>
  <c r="E46" i="2"/>
  <c r="D46" i="2"/>
  <c r="AF46" i="2" s="1"/>
  <c r="P47" i="3" s="1"/>
  <c r="G46" i="2"/>
  <c r="F42" i="2"/>
  <c r="E42" i="2"/>
  <c r="D42" i="2"/>
  <c r="AF42" i="2" s="1"/>
  <c r="P43" i="3" s="1"/>
  <c r="G42" i="2"/>
  <c r="F38" i="2"/>
  <c r="E38" i="2"/>
  <c r="D38" i="2"/>
  <c r="AF38" i="2" s="1"/>
  <c r="P39" i="3" s="1"/>
  <c r="G38" i="2"/>
  <c r="F34" i="2"/>
  <c r="E34" i="2"/>
  <c r="D34" i="2"/>
  <c r="AF34" i="2" s="1"/>
  <c r="P35" i="3" s="1"/>
  <c r="G34" i="2"/>
  <c r="F30" i="2"/>
  <c r="E30" i="2"/>
  <c r="D30" i="2"/>
  <c r="AF30" i="2" s="1"/>
  <c r="P31" i="3" s="1"/>
  <c r="G30" i="2"/>
  <c r="F26" i="2"/>
  <c r="E26" i="2"/>
  <c r="D26" i="2"/>
  <c r="AF26" i="2" s="1"/>
  <c r="P27" i="3" s="1"/>
  <c r="G26" i="2"/>
  <c r="F22" i="2"/>
  <c r="E22" i="2"/>
  <c r="D22" i="2"/>
  <c r="AF22" i="2" s="1"/>
  <c r="P23" i="3" s="1"/>
  <c r="G22" i="2"/>
  <c r="F18" i="2"/>
  <c r="E18" i="2"/>
  <c r="G18" i="2"/>
  <c r="D18" i="2"/>
  <c r="AF18" i="2" s="1"/>
  <c r="P19" i="3" s="1"/>
  <c r="F14" i="2"/>
  <c r="E14" i="2"/>
  <c r="G14" i="2"/>
  <c r="D14" i="2"/>
  <c r="AF14" i="2" s="1"/>
  <c r="P15" i="3" s="1"/>
  <c r="E10" i="2"/>
  <c r="D10" i="2"/>
  <c r="AF10" i="2" s="1"/>
  <c r="P11" i="3" s="1"/>
  <c r="G10" i="2"/>
  <c r="F10" i="2"/>
  <c r="E6" i="2"/>
  <c r="D6" i="2"/>
  <c r="AF6" i="2" s="1"/>
  <c r="P7" i="3" s="1"/>
  <c r="G6" i="2"/>
  <c r="F6" i="2"/>
  <c r="V79" i="2"/>
  <c r="T79" i="2"/>
  <c r="AG79" i="2" s="1"/>
  <c r="Q80" i="3" s="1"/>
  <c r="V74" i="2"/>
  <c r="T74" i="2"/>
  <c r="AG74" i="2" s="1"/>
  <c r="Q75" i="3" s="1"/>
  <c r="V70" i="2"/>
  <c r="T70" i="2"/>
  <c r="AG70" i="2" s="1"/>
  <c r="Q71" i="3" s="1"/>
  <c r="V66" i="2"/>
  <c r="T66" i="2"/>
  <c r="AG66" i="2" s="1"/>
  <c r="Q67" i="3" s="1"/>
  <c r="V62" i="2"/>
  <c r="T62" i="2"/>
  <c r="AG62" i="2" s="1"/>
  <c r="Q63" i="3" s="1"/>
  <c r="V58" i="2"/>
  <c r="T58" i="2"/>
  <c r="AG58" i="2" s="1"/>
  <c r="Q59" i="3" s="1"/>
  <c r="V54" i="2"/>
  <c r="T54" i="2"/>
  <c r="AG54" i="2" s="1"/>
  <c r="Q55" i="3" s="1"/>
  <c r="V50" i="2"/>
  <c r="T50" i="2"/>
  <c r="AG50" i="2" s="1"/>
  <c r="Q51" i="3" s="1"/>
  <c r="V46" i="2"/>
  <c r="T46" i="2"/>
  <c r="AG46" i="2" s="1"/>
  <c r="Q47" i="3" s="1"/>
  <c r="V42" i="2"/>
  <c r="T42" i="2"/>
  <c r="AG42" i="2" s="1"/>
  <c r="Q43" i="3" s="1"/>
  <c r="V38" i="2"/>
  <c r="T38" i="2"/>
  <c r="AG38" i="2" s="1"/>
  <c r="Q39" i="3" s="1"/>
  <c r="V34" i="2"/>
  <c r="T34" i="2"/>
  <c r="AG34" i="2" s="1"/>
  <c r="Q35" i="3" s="1"/>
  <c r="V30" i="2"/>
  <c r="T30" i="2"/>
  <c r="AG30" i="2" s="1"/>
  <c r="Q31" i="3" s="1"/>
  <c r="V26" i="2"/>
  <c r="T26" i="2"/>
  <c r="AG26" i="2" s="1"/>
  <c r="Q27" i="3" s="1"/>
  <c r="V22" i="2"/>
  <c r="T22" i="2"/>
  <c r="AG22" i="2" s="1"/>
  <c r="Q23" i="3" s="1"/>
  <c r="V18" i="2"/>
  <c r="T18" i="2"/>
  <c r="AG18" i="2" s="1"/>
  <c r="Q19" i="3" s="1"/>
  <c r="V14" i="2"/>
  <c r="T14" i="2"/>
  <c r="AG14" i="2" s="1"/>
  <c r="Q15" i="3" s="1"/>
  <c r="V10" i="2"/>
  <c r="T10" i="2"/>
  <c r="AG10" i="2" s="1"/>
  <c r="Q11" i="3" s="1"/>
  <c r="V6" i="2"/>
  <c r="T6" i="2"/>
  <c r="AG6" i="2" s="1"/>
  <c r="Q7" i="3" s="1"/>
  <c r="V75" i="2"/>
  <c r="T75" i="2"/>
  <c r="AG75" i="2" s="1"/>
  <c r="Q76" i="3" s="1"/>
  <c r="V78" i="2"/>
  <c r="T78" i="2"/>
  <c r="AG78" i="2" s="1"/>
  <c r="Q79" i="3" s="1"/>
  <c r="V3" i="2"/>
  <c r="T3" i="2"/>
  <c r="AG3" i="2" s="1"/>
  <c r="Q4" i="3" s="1"/>
  <c r="V77" i="2"/>
  <c r="T77" i="2"/>
  <c r="AG77" i="2" s="1"/>
  <c r="Q78" i="3" s="1"/>
  <c r="V73" i="2"/>
  <c r="T73" i="2"/>
  <c r="AG73" i="2" s="1"/>
  <c r="Q74" i="3" s="1"/>
  <c r="V69" i="2"/>
  <c r="T69" i="2"/>
  <c r="AG69" i="2" s="1"/>
  <c r="Q70" i="3" s="1"/>
  <c r="V65" i="2"/>
  <c r="T65" i="2"/>
  <c r="AG65" i="2" s="1"/>
  <c r="Q66" i="3" s="1"/>
  <c r="V61" i="2"/>
  <c r="T61" i="2"/>
  <c r="AG61" i="2" s="1"/>
  <c r="Q62" i="3" s="1"/>
  <c r="V57" i="2"/>
  <c r="T57" i="2"/>
  <c r="AG57" i="2" s="1"/>
  <c r="Q58" i="3" s="1"/>
  <c r="V53" i="2"/>
  <c r="T53" i="2"/>
  <c r="AG53" i="2" s="1"/>
  <c r="Q54" i="3" s="1"/>
  <c r="V49" i="2"/>
  <c r="T49" i="2"/>
  <c r="AG49" i="2" s="1"/>
  <c r="Q50" i="3" s="1"/>
  <c r="V45" i="2"/>
  <c r="T45" i="2"/>
  <c r="AG45" i="2" s="1"/>
  <c r="Q46" i="3" s="1"/>
  <c r="V41" i="2"/>
  <c r="T41" i="2"/>
  <c r="AG41" i="2" s="1"/>
  <c r="Q42" i="3" s="1"/>
  <c r="V37" i="2"/>
  <c r="T37" i="2"/>
  <c r="AG37" i="2" s="1"/>
  <c r="Q38" i="3" s="1"/>
  <c r="V33" i="2"/>
  <c r="T33" i="2"/>
  <c r="AG33" i="2" s="1"/>
  <c r="Q34" i="3" s="1"/>
  <c r="V29" i="2"/>
  <c r="T29" i="2"/>
  <c r="AG29" i="2" s="1"/>
  <c r="Q30" i="3" s="1"/>
  <c r="V25" i="2"/>
  <c r="T25" i="2"/>
  <c r="AG25" i="2" s="1"/>
  <c r="Q26" i="3" s="1"/>
  <c r="V21" i="2"/>
  <c r="T21" i="2"/>
  <c r="AG21" i="2" s="1"/>
  <c r="Q22" i="3" s="1"/>
  <c r="V17" i="2"/>
  <c r="T17" i="2"/>
  <c r="AG17" i="2" s="1"/>
  <c r="Q18" i="3" s="1"/>
  <c r="V13" i="2"/>
  <c r="T13" i="2"/>
  <c r="AG13" i="2" s="1"/>
  <c r="Q14" i="3" s="1"/>
  <c r="V9" i="2"/>
  <c r="T9" i="2"/>
  <c r="AG9" i="2" s="1"/>
  <c r="Q10" i="3" s="1"/>
  <c r="V5" i="2"/>
  <c r="T5" i="2"/>
  <c r="AG5" i="2" s="1"/>
  <c r="Q6" i="3" s="1"/>
  <c r="V80" i="2"/>
  <c r="T80" i="2"/>
  <c r="AG80" i="2" s="1"/>
  <c r="Q81" i="3" s="1"/>
  <c r="V76" i="2"/>
  <c r="T76" i="2"/>
  <c r="AG76" i="2" s="1"/>
  <c r="Q77" i="3" s="1"/>
  <c r="V72" i="2"/>
  <c r="T72" i="2"/>
  <c r="AG72" i="2" s="1"/>
  <c r="Q73" i="3" s="1"/>
  <c r="V68" i="2"/>
  <c r="T68" i="2"/>
  <c r="AG68" i="2" s="1"/>
  <c r="Q69" i="3" s="1"/>
  <c r="V64" i="2"/>
  <c r="T64" i="2"/>
  <c r="AG64" i="2" s="1"/>
  <c r="Q65" i="3" s="1"/>
  <c r="V60" i="2"/>
  <c r="T60" i="2"/>
  <c r="AG60" i="2" s="1"/>
  <c r="Q61" i="3" s="1"/>
  <c r="V56" i="2"/>
  <c r="T56" i="2"/>
  <c r="AG56" i="2" s="1"/>
  <c r="Q57" i="3" s="1"/>
  <c r="V52" i="2"/>
  <c r="T52" i="2"/>
  <c r="AG52" i="2" s="1"/>
  <c r="Q53" i="3" s="1"/>
  <c r="V48" i="2"/>
  <c r="T48" i="2"/>
  <c r="AG48" i="2" s="1"/>
  <c r="Q49" i="3" s="1"/>
  <c r="V44" i="2"/>
  <c r="T44" i="2"/>
  <c r="AG44" i="2" s="1"/>
  <c r="Q45" i="3" s="1"/>
  <c r="V40" i="2"/>
  <c r="T40" i="2"/>
  <c r="AG40" i="2" s="1"/>
  <c r="Q41" i="3" s="1"/>
  <c r="V36" i="2"/>
  <c r="T36" i="2"/>
  <c r="AG36" i="2" s="1"/>
  <c r="Q37" i="3" s="1"/>
  <c r="V32" i="2"/>
  <c r="T32" i="2"/>
  <c r="AG32" i="2" s="1"/>
  <c r="Q33" i="3" s="1"/>
  <c r="V28" i="2"/>
  <c r="T28" i="2"/>
  <c r="V24" i="2"/>
  <c r="T24" i="2"/>
  <c r="AG24" i="2" s="1"/>
  <c r="Q25" i="3" s="1"/>
  <c r="V20" i="2"/>
  <c r="T20" i="2"/>
  <c r="AG20" i="2" s="1"/>
  <c r="Q21" i="3" s="1"/>
  <c r="V16" i="2"/>
  <c r="T16" i="2"/>
  <c r="AG16" i="2" s="1"/>
  <c r="Q17" i="3" s="1"/>
  <c r="V12" i="2"/>
  <c r="T12" i="2"/>
  <c r="AG12" i="2" s="1"/>
  <c r="Q13" i="3" s="1"/>
  <c r="V8" i="2"/>
  <c r="T8" i="2"/>
  <c r="AG8" i="2" s="1"/>
  <c r="Q9" i="3" s="1"/>
  <c r="V4" i="2"/>
  <c r="T4" i="2"/>
  <c r="AG4" i="2" s="1"/>
  <c r="Q5" i="3" s="1"/>
  <c r="V71" i="2"/>
  <c r="T71" i="2"/>
  <c r="AG71" i="2" s="1"/>
  <c r="Q72" i="3" s="1"/>
  <c r="V67" i="2"/>
  <c r="T67" i="2"/>
  <c r="AG67" i="2" s="1"/>
  <c r="Q68" i="3" s="1"/>
  <c r="V63" i="2"/>
  <c r="T63" i="2"/>
  <c r="AG63" i="2" s="1"/>
  <c r="Q64" i="3" s="1"/>
  <c r="V59" i="2"/>
  <c r="T59" i="2"/>
  <c r="AG59" i="2" s="1"/>
  <c r="Q60" i="3" s="1"/>
  <c r="V55" i="2"/>
  <c r="T55" i="2"/>
  <c r="AG55" i="2" s="1"/>
  <c r="Q56" i="3" s="1"/>
  <c r="V51" i="2"/>
  <c r="T51" i="2"/>
  <c r="AG51" i="2" s="1"/>
  <c r="Q52" i="3" s="1"/>
  <c r="V47" i="2"/>
  <c r="T47" i="2"/>
  <c r="AG47" i="2" s="1"/>
  <c r="Q48" i="3" s="1"/>
  <c r="V43" i="2"/>
  <c r="T43" i="2"/>
  <c r="AG43" i="2" s="1"/>
  <c r="Q44" i="3" s="1"/>
  <c r="V39" i="2"/>
  <c r="T39" i="2"/>
  <c r="AG39" i="2" s="1"/>
  <c r="Q40" i="3" s="1"/>
  <c r="V35" i="2"/>
  <c r="T35" i="2"/>
  <c r="AG35" i="2" s="1"/>
  <c r="Q36" i="3" s="1"/>
  <c r="V31" i="2"/>
  <c r="T31" i="2"/>
  <c r="AG31" i="2" s="1"/>
  <c r="Q32" i="3" s="1"/>
  <c r="V27" i="2"/>
  <c r="T27" i="2"/>
  <c r="AG27" i="2" s="1"/>
  <c r="Q28" i="3" s="1"/>
  <c r="V23" i="2"/>
  <c r="T23" i="2"/>
  <c r="AG23" i="2" s="1"/>
  <c r="Q24" i="3" s="1"/>
  <c r="V19" i="2"/>
  <c r="T19" i="2"/>
  <c r="AG19" i="2" s="1"/>
  <c r="Q20" i="3" s="1"/>
  <c r="V15" i="2"/>
  <c r="T15" i="2"/>
  <c r="AG15" i="2" s="1"/>
  <c r="Q16" i="3" s="1"/>
  <c r="V11" i="2"/>
  <c r="T11" i="2"/>
  <c r="AG11" i="2" s="1"/>
  <c r="Q12" i="3" s="1"/>
  <c r="V7" i="2"/>
  <c r="T7" i="2"/>
  <c r="AG7" i="2" s="1"/>
  <c r="Q8" i="3" s="1"/>
  <c r="U79" i="2"/>
  <c r="W79" i="2"/>
  <c r="U75" i="2"/>
  <c r="W75" i="2"/>
  <c r="U71" i="2"/>
  <c r="W71" i="2"/>
  <c r="U67" i="2"/>
  <c r="W67" i="2"/>
  <c r="U63" i="2"/>
  <c r="W63" i="2"/>
  <c r="U59" i="2"/>
  <c r="W59" i="2"/>
  <c r="U55" i="2"/>
  <c r="W55" i="2"/>
  <c r="U51" i="2"/>
  <c r="W51" i="2"/>
  <c r="U47" i="2"/>
  <c r="W47" i="2"/>
  <c r="U43" i="2"/>
  <c r="W43" i="2"/>
  <c r="U39" i="2"/>
  <c r="W39" i="2"/>
  <c r="U35" i="2"/>
  <c r="W35" i="2"/>
  <c r="U31" i="2"/>
  <c r="W31" i="2"/>
  <c r="U27" i="2"/>
  <c r="W27" i="2"/>
  <c r="U23" i="2"/>
  <c r="W23" i="2"/>
  <c r="U19" i="2"/>
  <c r="W19" i="2"/>
  <c r="U15" i="2"/>
  <c r="W15" i="2"/>
  <c r="U11" i="2"/>
  <c r="W11" i="2"/>
  <c r="U7" i="2"/>
  <c r="W7" i="2"/>
  <c r="U78" i="2"/>
  <c r="W78" i="2"/>
  <c r="U74" i="2"/>
  <c r="W74" i="2"/>
  <c r="U70" i="2"/>
  <c r="W70" i="2"/>
  <c r="U66" i="2"/>
  <c r="W66" i="2"/>
  <c r="U62" i="2"/>
  <c r="W62" i="2"/>
  <c r="U58" i="2"/>
  <c r="W58" i="2"/>
  <c r="U54" i="2"/>
  <c r="W54" i="2"/>
  <c r="U50" i="2"/>
  <c r="W50" i="2"/>
  <c r="U46" i="2"/>
  <c r="W46" i="2"/>
  <c r="U42" i="2"/>
  <c r="W42" i="2"/>
  <c r="U38" i="2"/>
  <c r="W38" i="2"/>
  <c r="U34" i="2"/>
  <c r="W34" i="2"/>
  <c r="U30" i="2"/>
  <c r="W30" i="2"/>
  <c r="U26" i="2"/>
  <c r="W26" i="2"/>
  <c r="U22" i="2"/>
  <c r="W22" i="2"/>
  <c r="U18" i="2"/>
  <c r="W18" i="2"/>
  <c r="U14" i="2"/>
  <c r="W14" i="2"/>
  <c r="U10" i="2"/>
  <c r="W10" i="2"/>
  <c r="U6" i="2"/>
  <c r="W6" i="2"/>
  <c r="W3" i="2"/>
  <c r="U3" i="2"/>
  <c r="W77" i="2"/>
  <c r="U77" i="2"/>
  <c r="W73" i="2"/>
  <c r="U73" i="2"/>
  <c r="W69" i="2"/>
  <c r="U69" i="2"/>
  <c r="W65" i="2"/>
  <c r="U65" i="2"/>
  <c r="W61" i="2"/>
  <c r="U61" i="2"/>
  <c r="W57" i="2"/>
  <c r="U57" i="2"/>
  <c r="W53" i="2"/>
  <c r="U53" i="2"/>
  <c r="W49" i="2"/>
  <c r="U49" i="2"/>
  <c r="W45" i="2"/>
  <c r="U45" i="2"/>
  <c r="W41" i="2"/>
  <c r="U41" i="2"/>
  <c r="W37" i="2"/>
  <c r="U37" i="2"/>
  <c r="W33" i="2"/>
  <c r="U33" i="2"/>
  <c r="W29" i="2"/>
  <c r="U29" i="2"/>
  <c r="W25" i="2"/>
  <c r="U25" i="2"/>
  <c r="W21" i="2"/>
  <c r="U21" i="2"/>
  <c r="W17" i="2"/>
  <c r="U17" i="2"/>
  <c r="W13" i="2"/>
  <c r="U13" i="2"/>
  <c r="W9" i="2"/>
  <c r="U9" i="2"/>
  <c r="W5" i="2"/>
  <c r="U5" i="2"/>
  <c r="W80" i="2"/>
  <c r="U80" i="2"/>
  <c r="W76" i="2"/>
  <c r="U76" i="2"/>
  <c r="W72" i="2"/>
  <c r="U72" i="2"/>
  <c r="W68" i="2"/>
  <c r="U68" i="2"/>
  <c r="W64" i="2"/>
  <c r="U64" i="2"/>
  <c r="W60" i="2"/>
  <c r="U60" i="2"/>
  <c r="W56" i="2"/>
  <c r="U56" i="2"/>
  <c r="W52" i="2"/>
  <c r="U52" i="2"/>
  <c r="W48" i="2"/>
  <c r="U48" i="2"/>
  <c r="W44" i="2"/>
  <c r="U44" i="2"/>
  <c r="W40" i="2"/>
  <c r="U40" i="2"/>
  <c r="W36" i="2"/>
  <c r="U36" i="2"/>
  <c r="W32" i="2"/>
  <c r="U32" i="2"/>
  <c r="W28" i="2"/>
  <c r="U28" i="2"/>
  <c r="W24" i="2"/>
  <c r="U24" i="2"/>
  <c r="W20" i="2"/>
  <c r="U20" i="2"/>
  <c r="W16" i="2"/>
  <c r="U16" i="2"/>
  <c r="W12" i="2"/>
  <c r="U12" i="2"/>
  <c r="W8" i="2"/>
  <c r="U8" i="2"/>
  <c r="W4" i="2"/>
  <c r="U4" i="2"/>
  <c r="AF72" i="2"/>
  <c r="P73" i="3" s="1"/>
  <c r="AF67" i="2"/>
  <c r="P68" i="3" s="1"/>
  <c r="AF75" i="2"/>
  <c r="P76" i="3" s="1"/>
  <c r="AF59" i="2"/>
  <c r="P60" i="3" s="1"/>
  <c r="AF43" i="2"/>
  <c r="P44" i="3" s="1"/>
  <c r="AF52" i="2"/>
  <c r="P53" i="3" s="1"/>
  <c r="AF48" i="2"/>
  <c r="P49" i="3" s="1"/>
  <c r="AF53" i="2"/>
  <c r="P54" i="3" s="1"/>
  <c r="AG28" i="2" l="1"/>
  <c r="Q29" i="3" s="1"/>
  <c r="C31" i="3"/>
  <c r="AF3" i="2"/>
  <c r="P4" i="3" s="1"/>
  <c r="V81" i="2"/>
  <c r="U81" i="2"/>
  <c r="W81" i="2"/>
  <c r="F87" i="2" l="1"/>
  <c r="G88" i="2"/>
  <c r="G87" i="2"/>
  <c r="E88" i="2"/>
  <c r="E87" i="2"/>
  <c r="F88" i="2"/>
  <c r="G86" i="2"/>
  <c r="E86" i="2"/>
  <c r="F86" i="2"/>
  <c r="G85" i="2"/>
  <c r="G82" i="2"/>
  <c r="G83" i="2"/>
  <c r="F85" i="2"/>
  <c r="F82" i="2"/>
  <c r="E83" i="2"/>
  <c r="E85" i="2"/>
  <c r="E82" i="2"/>
  <c r="F83" i="2"/>
  <c r="J4" i="2" l="1"/>
  <c r="J61" i="2"/>
  <c r="H29" i="2"/>
  <c r="I5" i="2"/>
  <c r="J64" i="2"/>
  <c r="J9" i="2"/>
  <c r="J44" i="2"/>
  <c r="I7" i="2"/>
  <c r="H45" i="2"/>
  <c r="I69" i="2"/>
  <c r="H46" i="2"/>
  <c r="H26" i="2"/>
  <c r="J55" i="2"/>
  <c r="J39" i="2"/>
  <c r="J53" i="2"/>
  <c r="I80" i="2"/>
  <c r="H69" i="2"/>
  <c r="I56" i="2"/>
  <c r="H74" i="2"/>
  <c r="H18" i="2"/>
  <c r="H16" i="2"/>
  <c r="H3" i="2"/>
  <c r="I53" i="2"/>
  <c r="I78" i="2"/>
  <c r="J76" i="2"/>
  <c r="J40" i="2"/>
  <c r="J27" i="2"/>
  <c r="J54" i="2"/>
  <c r="I39" i="2"/>
  <c r="H41" i="2"/>
  <c r="I27" i="2"/>
  <c r="H54" i="2"/>
  <c r="H63" i="2"/>
  <c r="H27" i="2"/>
  <c r="H4" i="2"/>
  <c r="I40" i="2"/>
  <c r="I60" i="2"/>
  <c r="I43" i="2"/>
  <c r="I76" i="2"/>
  <c r="J60" i="2"/>
  <c r="J26" i="2"/>
  <c r="J77" i="2"/>
  <c r="H65" i="2"/>
  <c r="I24" i="2"/>
  <c r="I75" i="2"/>
  <c r="I19" i="2"/>
  <c r="H50" i="2"/>
  <c r="H59" i="2"/>
  <c r="H6" i="2"/>
  <c r="H30" i="2"/>
  <c r="I26" i="2"/>
  <c r="H57" i="2"/>
  <c r="H71" i="2"/>
  <c r="H19" i="2"/>
  <c r="I37" i="2"/>
  <c r="J11" i="2"/>
  <c r="J65" i="2"/>
  <c r="J73" i="2"/>
  <c r="J16" i="2"/>
  <c r="I4" i="2"/>
  <c r="I61" i="2"/>
  <c r="I11" i="2"/>
  <c r="H55" i="2"/>
  <c r="J52" i="2"/>
  <c r="J71" i="2"/>
  <c r="J41" i="2"/>
  <c r="J59" i="2"/>
  <c r="I59" i="2"/>
  <c r="H22" i="2"/>
  <c r="I35" i="2"/>
  <c r="H58" i="2"/>
  <c r="H67" i="2"/>
  <c r="H12" i="2"/>
  <c r="H15" i="2"/>
  <c r="I58" i="2"/>
  <c r="I49" i="2"/>
  <c r="J42" i="2"/>
  <c r="J19" i="2"/>
  <c r="J79" i="2"/>
  <c r="I41" i="2"/>
  <c r="I45" i="2"/>
  <c r="I68" i="2"/>
  <c r="H76" i="2"/>
  <c r="H9" i="2"/>
  <c r="H47" i="2"/>
  <c r="H17" i="2"/>
  <c r="H80" i="2"/>
  <c r="I30" i="2"/>
  <c r="I77" i="2"/>
  <c r="I25" i="2"/>
  <c r="I22" i="2"/>
  <c r="J30" i="2"/>
  <c r="J51" i="2"/>
  <c r="I44" i="2"/>
  <c r="I48" i="2"/>
  <c r="I42" i="2"/>
  <c r="H64" i="2"/>
  <c r="H32" i="2"/>
  <c r="H43" i="2"/>
  <c r="H31" i="2"/>
  <c r="I63" i="2"/>
  <c r="I10" i="2"/>
  <c r="H78" i="2"/>
  <c r="H39" i="2"/>
  <c r="I55" i="2"/>
  <c r="I21" i="2"/>
  <c r="J58" i="2"/>
  <c r="J68" i="2"/>
  <c r="J24" i="2"/>
  <c r="J63" i="2"/>
  <c r="J66" i="2"/>
  <c r="J3" i="2"/>
  <c r="J20" i="2"/>
  <c r="J43" i="2"/>
  <c r="J38" i="2"/>
  <c r="J49" i="2"/>
  <c r="J57" i="2"/>
  <c r="J78" i="2"/>
  <c r="J69" i="2"/>
  <c r="J46" i="2"/>
  <c r="J15" i="2"/>
  <c r="J17" i="2"/>
  <c r="J6" i="2"/>
  <c r="J31" i="2"/>
  <c r="J8" i="2"/>
  <c r="J74" i="2"/>
  <c r="J22" i="2"/>
  <c r="J13" i="2"/>
  <c r="J67" i="2"/>
  <c r="J70" i="2"/>
  <c r="J10" i="2"/>
  <c r="J32" i="2"/>
  <c r="H49" i="2"/>
  <c r="I67" i="2"/>
  <c r="I36" i="2"/>
  <c r="H52" i="2"/>
  <c r="H38" i="2"/>
  <c r="J75" i="2"/>
  <c r="J48" i="2"/>
  <c r="J18" i="2"/>
  <c r="J21" i="2"/>
  <c r="I74" i="2"/>
  <c r="I57" i="2"/>
  <c r="I8" i="2"/>
  <c r="H42" i="2"/>
  <c r="H51" i="2"/>
  <c r="H37" i="2"/>
  <c r="H8" i="2"/>
  <c r="I34" i="2"/>
  <c r="I52" i="2"/>
  <c r="J23" i="2"/>
  <c r="J45" i="2"/>
  <c r="J47" i="2"/>
  <c r="H28" i="2"/>
  <c r="H77" i="2"/>
  <c r="I20" i="2"/>
  <c r="H40" i="2"/>
  <c r="H60" i="2"/>
  <c r="H25" i="2"/>
  <c r="H35" i="2"/>
  <c r="I71" i="2"/>
  <c r="I14" i="2"/>
  <c r="I29" i="2"/>
  <c r="I9" i="2"/>
  <c r="I72" i="2"/>
  <c r="J7" i="2"/>
  <c r="J29" i="2"/>
  <c r="J80" i="2"/>
  <c r="I73" i="2"/>
  <c r="H73" i="2"/>
  <c r="I12" i="2"/>
  <c r="H11" i="2"/>
  <c r="H56" i="2"/>
  <c r="H23" i="2"/>
  <c r="H24" i="2"/>
  <c r="I47" i="2"/>
  <c r="I70" i="2"/>
  <c r="H72" i="2"/>
  <c r="H34" i="2"/>
  <c r="I38" i="2"/>
  <c r="I64" i="2"/>
  <c r="J14" i="2"/>
  <c r="J37" i="2"/>
  <c r="J28" i="2"/>
  <c r="I31" i="2"/>
  <c r="I32" i="2"/>
  <c r="I3" i="2"/>
  <c r="H62" i="2"/>
  <c r="H21" i="2"/>
  <c r="J50" i="2"/>
  <c r="J35" i="2"/>
  <c r="J5" i="2"/>
  <c r="I15" i="2"/>
  <c r="I16" i="2"/>
  <c r="I28" i="2"/>
  <c r="H48" i="2"/>
  <c r="H68" i="2"/>
  <c r="H7" i="2"/>
  <c r="H10" i="2"/>
  <c r="I79" i="2"/>
  <c r="I18" i="2"/>
  <c r="I33" i="2"/>
  <c r="J34" i="2"/>
  <c r="J72" i="2"/>
  <c r="J36" i="2"/>
  <c r="J12" i="2"/>
  <c r="I46" i="2"/>
  <c r="H53" i="2"/>
  <c r="I51" i="2"/>
  <c r="H70" i="2"/>
  <c r="H79" i="2"/>
  <c r="H13" i="2"/>
  <c r="H33" i="2"/>
  <c r="I65" i="2"/>
  <c r="I54" i="2"/>
  <c r="I13" i="2"/>
  <c r="H14" i="2"/>
  <c r="J62" i="2"/>
  <c r="J56" i="2"/>
  <c r="J25" i="2"/>
  <c r="J33" i="2"/>
  <c r="I23" i="2"/>
  <c r="H61" i="2"/>
  <c r="I66" i="2"/>
  <c r="H66" i="2"/>
  <c r="H75" i="2"/>
  <c r="H5" i="2"/>
  <c r="H36" i="2"/>
  <c r="I62" i="2"/>
  <c r="I50" i="2"/>
  <c r="H44" i="2"/>
  <c r="H20" i="2"/>
  <c r="I6" i="2"/>
  <c r="I17" i="2"/>
  <c r="G84" i="2"/>
  <c r="E84" i="2"/>
  <c r="F84" i="2"/>
  <c r="H82" i="2" l="1"/>
  <c r="H87" i="2"/>
  <c r="H83" i="2"/>
  <c r="H86" i="2"/>
  <c r="H85" i="2"/>
  <c r="H88" i="2"/>
  <c r="I83" i="2"/>
  <c r="I87" i="2"/>
  <c r="I86" i="2"/>
  <c r="I82" i="2"/>
  <c r="I85" i="2"/>
  <c r="I88" i="2"/>
  <c r="J82" i="2"/>
  <c r="J85" i="2"/>
  <c r="J88" i="2"/>
  <c r="J87" i="2"/>
  <c r="J83" i="2"/>
  <c r="J86" i="2"/>
  <c r="M4" i="2" l="1"/>
  <c r="L66" i="2"/>
  <c r="J84" i="2"/>
  <c r="M76" i="2"/>
  <c r="L75" i="2"/>
  <c r="M42" i="2"/>
  <c r="L63" i="2"/>
  <c r="M57" i="2"/>
  <c r="M21" i="2"/>
  <c r="L72" i="2"/>
  <c r="L3" i="2"/>
  <c r="L46" i="2"/>
  <c r="M25" i="2"/>
  <c r="L56" i="2"/>
  <c r="L19" i="2"/>
  <c r="L35" i="2"/>
  <c r="L44" i="2"/>
  <c r="M43" i="2"/>
  <c r="M70" i="2"/>
  <c r="L52" i="2"/>
  <c r="L53" i="2"/>
  <c r="L26" i="2"/>
  <c r="L58" i="2"/>
  <c r="M58" i="2"/>
  <c r="M6" i="2"/>
  <c r="M48" i="2"/>
  <c r="L73" i="2"/>
  <c r="L15" i="2"/>
  <c r="M33" i="2"/>
  <c r="L65" i="2"/>
  <c r="M5" i="2"/>
  <c r="L7" i="2"/>
  <c r="L40" i="2"/>
  <c r="L4" i="2"/>
  <c r="L41" i="2"/>
  <c r="M68" i="2"/>
  <c r="M31" i="2"/>
  <c r="L8" i="2"/>
  <c r="M7" i="2"/>
  <c r="L16" i="2"/>
  <c r="L17" i="2"/>
  <c r="M61" i="2"/>
  <c r="L39" i="2"/>
  <c r="M65" i="2"/>
  <c r="L45" i="2"/>
  <c r="L55" i="2"/>
  <c r="M15" i="2"/>
  <c r="L34" i="2"/>
  <c r="M29" i="2"/>
  <c r="M35" i="2"/>
  <c r="L54" i="2"/>
  <c r="M9" i="2"/>
  <c r="M40" i="2"/>
  <c r="M73" i="2"/>
  <c r="M19" i="2"/>
  <c r="L10" i="2"/>
  <c r="M78" i="2"/>
  <c r="L67" i="2"/>
  <c r="L14" i="2"/>
  <c r="M27" i="2"/>
  <c r="L37" i="2"/>
  <c r="M79" i="2"/>
  <c r="M66" i="2"/>
  <c r="M22" i="2"/>
  <c r="L57" i="2"/>
  <c r="L70" i="2"/>
  <c r="L18" i="2"/>
  <c r="L62" i="2"/>
  <c r="L50" i="2"/>
  <c r="M72" i="2"/>
  <c r="L80" i="2"/>
  <c r="M60" i="2"/>
  <c r="M52" i="2"/>
  <c r="L30" i="2"/>
  <c r="M3" i="2"/>
  <c r="M13" i="2"/>
  <c r="M45" i="2"/>
  <c r="M14" i="2"/>
  <c r="L33" i="2"/>
  <c r="L47" i="2"/>
  <c r="I84" i="2"/>
  <c r="K78" i="2"/>
  <c r="K74" i="2"/>
  <c r="K70" i="2"/>
  <c r="K66" i="2"/>
  <c r="K62" i="2"/>
  <c r="K58" i="2"/>
  <c r="K54" i="2"/>
  <c r="K50" i="2"/>
  <c r="K46" i="2"/>
  <c r="K42" i="2"/>
  <c r="K38" i="2"/>
  <c r="K34" i="2"/>
  <c r="K30" i="2"/>
  <c r="K18" i="2"/>
  <c r="K6" i="2"/>
  <c r="K77" i="2"/>
  <c r="K73" i="2"/>
  <c r="K69" i="2"/>
  <c r="K65" i="2"/>
  <c r="K61" i="2"/>
  <c r="K57" i="2"/>
  <c r="K53" i="2"/>
  <c r="K49" i="2"/>
  <c r="K45" i="2"/>
  <c r="K41" i="2"/>
  <c r="K37" i="2"/>
  <c r="K33" i="2"/>
  <c r="K29" i="2"/>
  <c r="K25" i="2"/>
  <c r="K21" i="2"/>
  <c r="K17" i="2"/>
  <c r="K13" i="2"/>
  <c r="K9" i="2"/>
  <c r="K5" i="2"/>
  <c r="K80" i="2"/>
  <c r="K76" i="2"/>
  <c r="K72" i="2"/>
  <c r="K68" i="2"/>
  <c r="K64" i="2"/>
  <c r="K60" i="2"/>
  <c r="K56" i="2"/>
  <c r="K52" i="2"/>
  <c r="K48" i="2"/>
  <c r="K44" i="2"/>
  <c r="K40" i="2"/>
  <c r="K36" i="2"/>
  <c r="K32" i="2"/>
  <c r="K28" i="2"/>
  <c r="K24" i="2"/>
  <c r="K20" i="2"/>
  <c r="K16" i="2"/>
  <c r="K12" i="2"/>
  <c r="K8" i="2"/>
  <c r="K4" i="2"/>
  <c r="K22" i="2"/>
  <c r="K10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K11" i="2"/>
  <c r="K7" i="2"/>
  <c r="K3" i="2"/>
  <c r="K26" i="2"/>
  <c r="K14" i="2"/>
  <c r="H84" i="2"/>
  <c r="M64" i="2"/>
  <c r="L60" i="2"/>
  <c r="L61" i="2"/>
  <c r="L77" i="2"/>
  <c r="M24" i="2"/>
  <c r="M8" i="2"/>
  <c r="M47" i="2"/>
  <c r="L12" i="2"/>
  <c r="L28" i="2"/>
  <c r="M56" i="2"/>
  <c r="L69" i="2"/>
  <c r="L43" i="2"/>
  <c r="L11" i="2"/>
  <c r="L68" i="2"/>
  <c r="L21" i="2"/>
  <c r="M17" i="2"/>
  <c r="M75" i="2"/>
  <c r="M44" i="2"/>
  <c r="L27" i="2"/>
  <c r="M16" i="2"/>
  <c r="N16" i="2" s="1"/>
  <c r="L22" i="2"/>
  <c r="M38" i="2"/>
  <c r="M10" i="2"/>
  <c r="M23" i="2"/>
  <c r="L64" i="2"/>
  <c r="M36" i="2"/>
  <c r="L6" i="2"/>
  <c r="M80" i="2"/>
  <c r="L13" i="2"/>
  <c r="L78" i="2"/>
  <c r="L24" i="2"/>
  <c r="L59" i="2"/>
  <c r="M30" i="2"/>
  <c r="M49" i="2"/>
  <c r="M32" i="2"/>
  <c r="L20" i="2"/>
  <c r="L32" i="2"/>
  <c r="M62" i="2"/>
  <c r="L79" i="2"/>
  <c r="M55" i="2"/>
  <c r="M26" i="2"/>
  <c r="M71" i="2"/>
  <c r="M51" i="2"/>
  <c r="M20" i="2"/>
  <c r="M67" i="2"/>
  <c r="L71" i="2"/>
  <c r="M37" i="2"/>
  <c r="M34" i="2"/>
  <c r="L38" i="2"/>
  <c r="M39" i="2"/>
  <c r="M77" i="2"/>
  <c r="M41" i="2"/>
  <c r="L25" i="2"/>
  <c r="M63" i="2"/>
  <c r="M74" i="2"/>
  <c r="L74" i="2"/>
  <c r="M53" i="2"/>
  <c r="L76" i="2"/>
  <c r="M59" i="2"/>
  <c r="L48" i="2"/>
  <c r="M69" i="2"/>
  <c r="L36" i="2"/>
  <c r="L29" i="2"/>
  <c r="L31" i="2"/>
  <c r="L51" i="2"/>
  <c r="M12" i="2"/>
  <c r="M28" i="2"/>
  <c r="L5" i="2"/>
  <c r="M54" i="2"/>
  <c r="M11" i="2"/>
  <c r="L49" i="2"/>
  <c r="L42" i="2"/>
  <c r="M46" i="2"/>
  <c r="M18" i="2"/>
  <c r="L9" i="2"/>
  <c r="M50" i="2"/>
  <c r="L23" i="2"/>
  <c r="N13" i="2" l="1"/>
  <c r="N45" i="2"/>
  <c r="N72" i="2"/>
  <c r="N23" i="2"/>
  <c r="N34" i="2"/>
  <c r="N17" i="2"/>
  <c r="N22" i="2"/>
  <c r="N80" i="2"/>
  <c r="N33" i="2"/>
  <c r="N50" i="2"/>
  <c r="N28" i="2"/>
  <c r="N29" i="2"/>
  <c r="N59" i="2"/>
  <c r="N74" i="2"/>
  <c r="N77" i="2"/>
  <c r="N37" i="2"/>
  <c r="N32" i="2"/>
  <c r="N6" i="2"/>
  <c r="N10" i="2"/>
  <c r="N27" i="2"/>
  <c r="N21" i="2"/>
  <c r="N75" i="2"/>
  <c r="N52" i="2"/>
  <c r="N58" i="2"/>
  <c r="N66" i="2"/>
  <c r="N12" i="2"/>
  <c r="N76" i="2"/>
  <c r="N62" i="2"/>
  <c r="N78" i="2"/>
  <c r="N38" i="2"/>
  <c r="N44" i="2"/>
  <c r="N60" i="2"/>
  <c r="N26" i="2"/>
  <c r="N40" i="2"/>
  <c r="N57" i="2"/>
  <c r="N65" i="2"/>
  <c r="N54" i="2"/>
  <c r="N7" i="2"/>
  <c r="N19" i="2"/>
  <c r="N3" i="2"/>
  <c r="N18" i="2"/>
  <c r="N68" i="2"/>
  <c r="N15" i="2"/>
  <c r="N73" i="2"/>
  <c r="N11" i="2"/>
  <c r="N39" i="2"/>
  <c r="N70" i="2"/>
  <c r="N71" i="2"/>
  <c r="N9" i="2"/>
  <c r="N79" i="2"/>
  <c r="N51" i="2"/>
  <c r="N47" i="2"/>
  <c r="N46" i="2"/>
  <c r="N20" i="2"/>
  <c r="N48" i="2"/>
  <c r="N53" i="2"/>
  <c r="N25" i="2"/>
  <c r="N41" i="2"/>
  <c r="N30" i="2"/>
  <c r="N67" i="2"/>
  <c r="N35" i="2"/>
  <c r="N55" i="2"/>
  <c r="N14" i="2"/>
  <c r="N42" i="2"/>
  <c r="L88" i="2"/>
  <c r="K82" i="2"/>
  <c r="N56" i="2"/>
  <c r="N43" i="2"/>
  <c r="N63" i="2"/>
  <c r="K86" i="2"/>
  <c r="K83" i="2"/>
  <c r="K85" i="2"/>
  <c r="N8" i="2"/>
  <c r="N49" i="2"/>
  <c r="N24" i="2"/>
  <c r="N61" i="2"/>
  <c r="K88" i="2"/>
  <c r="N36" i="2"/>
  <c r="N69" i="2"/>
  <c r="M83" i="2"/>
  <c r="L82" i="2"/>
  <c r="L85" i="2"/>
  <c r="M85" i="2"/>
  <c r="M86" i="2"/>
  <c r="L87" i="2"/>
  <c r="K87" i="2"/>
  <c r="N4" i="2"/>
  <c r="L86" i="2"/>
  <c r="N31" i="2"/>
  <c r="M88" i="2"/>
  <c r="M87" i="2"/>
  <c r="L83" i="2"/>
  <c r="L84" i="2" s="1"/>
  <c r="M82" i="2"/>
  <c r="N5" i="2"/>
  <c r="N64" i="2"/>
  <c r="K84" i="2" l="1"/>
  <c r="M84" i="2"/>
  <c r="N87" i="2"/>
  <c r="N82" i="2"/>
  <c r="N86" i="2"/>
  <c r="N85" i="2"/>
  <c r="P34" i="2" s="1"/>
  <c r="S34" i="2" s="1"/>
  <c r="N88" i="2"/>
  <c r="N83" i="2"/>
  <c r="N84" i="2" l="1"/>
  <c r="O4" i="2" s="1"/>
  <c r="P66" i="2"/>
  <c r="S66" i="2" s="1"/>
  <c r="P76" i="2"/>
  <c r="S76" i="2" s="1"/>
  <c r="P42" i="2"/>
  <c r="S42" i="2" s="1"/>
  <c r="P49" i="2"/>
  <c r="S49" i="2" s="1"/>
  <c r="P7" i="2"/>
  <c r="S7" i="2" s="1"/>
  <c r="P26" i="2"/>
  <c r="S26" i="2" s="1"/>
  <c r="P77" i="2"/>
  <c r="S77" i="2" s="1"/>
  <c r="P5" i="2"/>
  <c r="S5" i="2" s="1"/>
  <c r="P63" i="2"/>
  <c r="S63" i="2" s="1"/>
  <c r="P10" i="2"/>
  <c r="S10" i="2" s="1"/>
  <c r="P67" i="2"/>
  <c r="S67" i="2" s="1"/>
  <c r="P64" i="2"/>
  <c r="S64" i="2" s="1"/>
  <c r="P54" i="2"/>
  <c r="S54" i="2" s="1"/>
  <c r="P70" i="2"/>
  <c r="S70" i="2" s="1"/>
  <c r="P22" i="2"/>
  <c r="S22" i="2" s="1"/>
  <c r="P51" i="2"/>
  <c r="S51" i="2" s="1"/>
  <c r="P44" i="2"/>
  <c r="S44" i="2" s="1"/>
  <c r="P18" i="2"/>
  <c r="S18" i="2" s="1"/>
  <c r="P71" i="2"/>
  <c r="S71" i="2" s="1"/>
  <c r="P56" i="2"/>
  <c r="S56" i="2" s="1"/>
  <c r="P21" i="2"/>
  <c r="S21" i="2" s="1"/>
  <c r="P20" i="2"/>
  <c r="S20" i="2" s="1"/>
  <c r="P37" i="2"/>
  <c r="S37" i="2" s="1"/>
  <c r="P24" i="2"/>
  <c r="S24" i="2" s="1"/>
  <c r="P28" i="2"/>
  <c r="S28" i="2" s="1"/>
  <c r="P25" i="2"/>
  <c r="S25" i="2" s="1"/>
  <c r="P38" i="2"/>
  <c r="S38" i="2" s="1"/>
  <c r="P17" i="2"/>
  <c r="S17" i="2" s="1"/>
  <c r="P58" i="2"/>
  <c r="S58" i="2" s="1"/>
  <c r="P23" i="2"/>
  <c r="S23" i="2" s="1"/>
  <c r="P72" i="2"/>
  <c r="S72" i="2" s="1"/>
  <c r="P65" i="2"/>
  <c r="S65" i="2" s="1"/>
  <c r="P29" i="2"/>
  <c r="S29" i="2" s="1"/>
  <c r="P27" i="2"/>
  <c r="S27" i="2" s="1"/>
  <c r="P75" i="2"/>
  <c r="S75" i="2" s="1"/>
  <c r="P8" i="2"/>
  <c r="S8" i="2" s="1"/>
  <c r="P79" i="2"/>
  <c r="S79" i="2" s="1"/>
  <c r="P50" i="2"/>
  <c r="S50" i="2" s="1"/>
  <c r="P19" i="2"/>
  <c r="S19" i="2" s="1"/>
  <c r="P30" i="2"/>
  <c r="S30" i="2" s="1"/>
  <c r="P15" i="2"/>
  <c r="S15" i="2" s="1"/>
  <c r="P62" i="2"/>
  <c r="S62" i="2" s="1"/>
  <c r="P35" i="2"/>
  <c r="S35" i="2" s="1"/>
  <c r="P40" i="2"/>
  <c r="S40" i="2" s="1"/>
  <c r="P55" i="2"/>
  <c r="S55" i="2" s="1"/>
  <c r="P74" i="2"/>
  <c r="S74" i="2" s="1"/>
  <c r="P45" i="2"/>
  <c r="S45" i="2" s="1"/>
  <c r="P6" i="2"/>
  <c r="S6" i="2" s="1"/>
  <c r="P12" i="2"/>
  <c r="S12" i="2" s="1"/>
  <c r="P43" i="2"/>
  <c r="S43" i="2" s="1"/>
  <c r="P48" i="2"/>
  <c r="S48" i="2" s="1"/>
  <c r="P11" i="2"/>
  <c r="S11" i="2" s="1"/>
  <c r="P57" i="2"/>
  <c r="S57" i="2" s="1"/>
  <c r="P33" i="2"/>
  <c r="S33" i="2" s="1"/>
  <c r="P36" i="2"/>
  <c r="S36" i="2" s="1"/>
  <c r="P16" i="2"/>
  <c r="S16" i="2" s="1"/>
  <c r="P59" i="2"/>
  <c r="S59" i="2" s="1"/>
  <c r="P47" i="2"/>
  <c r="S47" i="2" s="1"/>
  <c r="P80" i="2"/>
  <c r="S80" i="2" s="1"/>
  <c r="P68" i="2"/>
  <c r="S68" i="2" s="1"/>
  <c r="P60" i="2"/>
  <c r="S60" i="2" s="1"/>
  <c r="P41" i="2"/>
  <c r="S41" i="2" s="1"/>
  <c r="P9" i="2"/>
  <c r="S9" i="2" s="1"/>
  <c r="P61" i="2"/>
  <c r="S61" i="2" s="1"/>
  <c r="P73" i="2"/>
  <c r="S73" i="2" s="1"/>
  <c r="P53" i="2"/>
  <c r="S53" i="2" s="1"/>
  <c r="P32" i="2"/>
  <c r="S32" i="2" s="1"/>
  <c r="P46" i="2"/>
  <c r="S46" i="2" s="1"/>
  <c r="P4" i="2"/>
  <c r="S4" i="2" s="1"/>
  <c r="P31" i="2"/>
  <c r="S31" i="2" s="1"/>
  <c r="P78" i="2"/>
  <c r="S78" i="2" s="1"/>
  <c r="P3" i="2"/>
  <c r="S3" i="2" s="1"/>
  <c r="P52" i="2"/>
  <c r="S52" i="2" s="1"/>
  <c r="P14" i="2"/>
  <c r="S14" i="2" s="1"/>
  <c r="P13" i="2"/>
  <c r="S13" i="2" s="1"/>
  <c r="P69" i="2"/>
  <c r="S69" i="2" s="1"/>
  <c r="P39" i="2"/>
  <c r="S39" i="2" s="1"/>
  <c r="O37" i="2"/>
  <c r="O40" i="2"/>
  <c r="O47" i="2"/>
  <c r="O9" i="2"/>
  <c r="O55" i="2"/>
  <c r="O70" i="2"/>
  <c r="O73" i="2"/>
  <c r="O51" i="2"/>
  <c r="O61" i="2"/>
  <c r="O31" i="2"/>
  <c r="O50" i="2"/>
  <c r="O7" i="2"/>
  <c r="O16" i="2"/>
  <c r="O43" i="2"/>
  <c r="O42" i="2"/>
  <c r="O41" i="2"/>
  <c r="O30" i="2"/>
  <c r="O66" i="2"/>
  <c r="O36" i="2"/>
  <c r="O79" i="2"/>
  <c r="O24" i="2"/>
  <c r="O46" i="2"/>
  <c r="O45" i="2"/>
  <c r="O63" i="2"/>
  <c r="O35" i="2"/>
  <c r="O23" i="2"/>
  <c r="O54" i="2"/>
  <c r="O49" i="2"/>
  <c r="O62" i="2"/>
  <c r="O65" i="2"/>
  <c r="O6" i="2"/>
  <c r="O57" i="2"/>
  <c r="O29" i="2"/>
  <c r="O20" i="2"/>
  <c r="O26" i="2"/>
  <c r="O21" i="2"/>
  <c r="O72" i="2"/>
  <c r="O48" i="2"/>
  <c r="O27" i="2"/>
  <c r="O12" i="2"/>
  <c r="O15" i="2"/>
  <c r="O19" i="2"/>
  <c r="O60" i="2"/>
  <c r="O33" i="2"/>
  <c r="O8" i="2"/>
  <c r="O34" i="2"/>
  <c r="O69" i="2"/>
  <c r="O56" i="2"/>
  <c r="O13" i="2"/>
  <c r="O39" i="2"/>
  <c r="O59" i="2"/>
  <c r="O5" i="2"/>
  <c r="O44" i="2"/>
  <c r="O32" i="2"/>
  <c r="O67" i="2"/>
  <c r="O22" i="2"/>
  <c r="O71" i="2"/>
  <c r="O77" i="2"/>
  <c r="O68" i="2"/>
  <c r="O78" i="2"/>
  <c r="O38" i="2"/>
  <c r="O10" i="2"/>
  <c r="O17" i="2"/>
  <c r="O11" i="2"/>
  <c r="O18" i="2"/>
  <c r="O53" i="2"/>
  <c r="O25" i="2"/>
  <c r="O76" i="2"/>
  <c r="O64" i="2"/>
  <c r="O3" i="2"/>
  <c r="O75" i="2"/>
  <c r="O28" i="2"/>
  <c r="O74" i="2"/>
  <c r="O58" i="2"/>
  <c r="AH34" i="2" l="1"/>
  <c r="X34" i="2"/>
  <c r="A39" i="2"/>
  <c r="A52" i="2"/>
  <c r="A4" i="2"/>
  <c r="A73" i="2"/>
  <c r="A60" i="2"/>
  <c r="A59" i="2"/>
  <c r="A57" i="2"/>
  <c r="A12" i="2"/>
  <c r="A55" i="2"/>
  <c r="A15" i="2"/>
  <c r="A79" i="2"/>
  <c r="A29" i="2"/>
  <c r="A58" i="2"/>
  <c r="A28" i="2"/>
  <c r="A21" i="2"/>
  <c r="A44" i="2"/>
  <c r="A54" i="2"/>
  <c r="A63" i="2"/>
  <c r="A7" i="2"/>
  <c r="A66" i="2"/>
  <c r="A69" i="2"/>
  <c r="A3" i="2"/>
  <c r="A46" i="2"/>
  <c r="A61" i="2"/>
  <c r="A68" i="2"/>
  <c r="A16" i="2"/>
  <c r="A11" i="2"/>
  <c r="A6" i="2"/>
  <c r="A40" i="2"/>
  <c r="A30" i="2"/>
  <c r="A8" i="2"/>
  <c r="A65" i="2"/>
  <c r="A17" i="2"/>
  <c r="A24" i="2"/>
  <c r="A56" i="2"/>
  <c r="A51" i="2"/>
  <c r="A64" i="2"/>
  <c r="A5" i="2"/>
  <c r="A49" i="2"/>
  <c r="A13" i="2"/>
  <c r="A78" i="2"/>
  <c r="A32" i="2"/>
  <c r="A9" i="2"/>
  <c r="A80" i="2"/>
  <c r="A36" i="2"/>
  <c r="A48" i="2"/>
  <c r="A45" i="2"/>
  <c r="A35" i="2"/>
  <c r="A19" i="2"/>
  <c r="A75" i="2"/>
  <c r="A72" i="2"/>
  <c r="A38" i="2"/>
  <c r="A37" i="2"/>
  <c r="A71" i="2"/>
  <c r="A22" i="2"/>
  <c r="A67" i="2"/>
  <c r="A77" i="2"/>
  <c r="A42" i="2"/>
  <c r="A14" i="2"/>
  <c r="A31" i="2"/>
  <c r="A53" i="2"/>
  <c r="A41" i="2"/>
  <c r="A47" i="2"/>
  <c r="A33" i="2"/>
  <c r="A43" i="2"/>
  <c r="A74" i="2"/>
  <c r="A62" i="2"/>
  <c r="A50" i="2"/>
  <c r="A27" i="2"/>
  <c r="A23" i="2"/>
  <c r="A25" i="2"/>
  <c r="A20" i="2"/>
  <c r="A18" i="2"/>
  <c r="A70" i="2"/>
  <c r="A10" i="2"/>
  <c r="A26" i="2"/>
  <c r="A76" i="2"/>
  <c r="A34" i="2"/>
  <c r="O14" i="2"/>
  <c r="O80" i="2"/>
  <c r="O52" i="2"/>
  <c r="P83" i="2"/>
  <c r="P85" i="2"/>
  <c r="P82" i="2"/>
  <c r="P88" i="2"/>
  <c r="P87" i="2"/>
  <c r="P86" i="2"/>
  <c r="AH76" i="2" l="1"/>
  <c r="X76" i="2"/>
  <c r="AH10" i="2"/>
  <c r="X10" i="2"/>
  <c r="AH18" i="2"/>
  <c r="X18" i="2"/>
  <c r="AH25" i="2"/>
  <c r="X25" i="2"/>
  <c r="AH27" i="2"/>
  <c r="X27" i="2"/>
  <c r="AH62" i="2"/>
  <c r="R63" i="3" s="1"/>
  <c r="X62" i="2"/>
  <c r="AH43" i="2"/>
  <c r="X43" i="2"/>
  <c r="AH47" i="2"/>
  <c r="X47" i="2"/>
  <c r="AH53" i="2"/>
  <c r="X53" i="2"/>
  <c r="AH14" i="2"/>
  <c r="X14" i="2"/>
  <c r="AH77" i="2"/>
  <c r="X77" i="2"/>
  <c r="AH22" i="2"/>
  <c r="X22" i="2"/>
  <c r="AH37" i="2"/>
  <c r="X37" i="2"/>
  <c r="AH72" i="2"/>
  <c r="X72" i="2"/>
  <c r="AH19" i="2"/>
  <c r="X19" i="2"/>
  <c r="AH45" i="2"/>
  <c r="X45" i="2"/>
  <c r="AH36" i="2"/>
  <c r="X36" i="2"/>
  <c r="AH9" i="2"/>
  <c r="X9" i="2"/>
  <c r="AH78" i="2"/>
  <c r="X78" i="2"/>
  <c r="Z78" i="2" s="1"/>
  <c r="AH49" i="2"/>
  <c r="R50" i="3" s="1"/>
  <c r="X49" i="2"/>
  <c r="Y49" i="2" s="1"/>
  <c r="AH64" i="2"/>
  <c r="X64" i="2"/>
  <c r="AH56" i="2"/>
  <c r="R57" i="3" s="1"/>
  <c r="X56" i="2"/>
  <c r="Z56" i="2" s="1"/>
  <c r="AH17" i="2"/>
  <c r="X17" i="2"/>
  <c r="AH8" i="2"/>
  <c r="X8" i="2"/>
  <c r="AH40" i="2"/>
  <c r="X40" i="2"/>
  <c r="AH11" i="2"/>
  <c r="X11" i="2"/>
  <c r="AH68" i="2"/>
  <c r="X68" i="2"/>
  <c r="AH46" i="2"/>
  <c r="R47" i="3" s="1"/>
  <c r="X46" i="2"/>
  <c r="Y46" i="2" s="1"/>
  <c r="AH69" i="2"/>
  <c r="X69" i="2"/>
  <c r="AJ135" i="2" s="1"/>
  <c r="AL135" i="2" s="1"/>
  <c r="AH7" i="2"/>
  <c r="X7" i="2"/>
  <c r="AH54" i="2"/>
  <c r="X54" i="2"/>
  <c r="Y54" i="2" s="1"/>
  <c r="AH21" i="2"/>
  <c r="X21" i="2"/>
  <c r="AH58" i="2"/>
  <c r="X58" i="2"/>
  <c r="AH79" i="2"/>
  <c r="R80" i="3" s="1"/>
  <c r="X79" i="2"/>
  <c r="AH55" i="2"/>
  <c r="X55" i="2"/>
  <c r="AH57" i="2"/>
  <c r="X57" i="2"/>
  <c r="AH60" i="2"/>
  <c r="R61" i="3" s="1"/>
  <c r="X60" i="2"/>
  <c r="AH4" i="2"/>
  <c r="X4" i="2"/>
  <c r="AH39" i="2"/>
  <c r="X39" i="2"/>
  <c r="AH26" i="2"/>
  <c r="X26" i="2"/>
  <c r="AH70" i="2"/>
  <c r="R71" i="3" s="1"/>
  <c r="X70" i="2"/>
  <c r="Y70" i="2" s="1"/>
  <c r="AH20" i="2"/>
  <c r="X20" i="2"/>
  <c r="AH23" i="2"/>
  <c r="X23" i="2"/>
  <c r="AH50" i="2"/>
  <c r="R51" i="3" s="1"/>
  <c r="X50" i="2"/>
  <c r="AJ97" i="2" s="1"/>
  <c r="AL97" i="2" s="1"/>
  <c r="AH74" i="2"/>
  <c r="X74" i="2"/>
  <c r="AH33" i="2"/>
  <c r="X33" i="2"/>
  <c r="AH41" i="2"/>
  <c r="X41" i="2"/>
  <c r="AH31" i="2"/>
  <c r="X31" i="2"/>
  <c r="AH42" i="2"/>
  <c r="X42" i="2"/>
  <c r="AH67" i="2"/>
  <c r="X67" i="2"/>
  <c r="AH71" i="2"/>
  <c r="R72" i="3" s="1"/>
  <c r="X71" i="2"/>
  <c r="Z71" i="2" s="1"/>
  <c r="AH38" i="2"/>
  <c r="X38" i="2"/>
  <c r="AH75" i="2"/>
  <c r="R76" i="3" s="1"/>
  <c r="X75" i="2"/>
  <c r="Z75" i="2" s="1"/>
  <c r="AH35" i="2"/>
  <c r="X35" i="2"/>
  <c r="AH48" i="2"/>
  <c r="R49" i="3" s="1"/>
  <c r="X48" i="2"/>
  <c r="Y48" i="2" s="1"/>
  <c r="AH80" i="2"/>
  <c r="R81" i="3" s="1"/>
  <c r="X80" i="2"/>
  <c r="Y80" i="2" s="1"/>
  <c r="AH32" i="2"/>
  <c r="X32" i="2"/>
  <c r="AH13" i="2"/>
  <c r="X13" i="2"/>
  <c r="AH5" i="2"/>
  <c r="X5" i="2"/>
  <c r="AH51" i="2"/>
  <c r="R52" i="3" s="1"/>
  <c r="X51" i="2"/>
  <c r="Y51" i="2" s="1"/>
  <c r="AH24" i="2"/>
  <c r="X24" i="2"/>
  <c r="AH65" i="2"/>
  <c r="R66" i="3" s="1"/>
  <c r="X65" i="2"/>
  <c r="AJ127" i="2" s="1"/>
  <c r="AL127" i="2" s="1"/>
  <c r="AH30" i="2"/>
  <c r="X30" i="2"/>
  <c r="AH6" i="2"/>
  <c r="X6" i="2"/>
  <c r="AH16" i="2"/>
  <c r="X16" i="2"/>
  <c r="AH61" i="2"/>
  <c r="R62" i="3" s="1"/>
  <c r="X61" i="2"/>
  <c r="Z61" i="2" s="1"/>
  <c r="AH3" i="2"/>
  <c r="R4" i="3" s="1"/>
  <c r="X3" i="2"/>
  <c r="Y3" i="2" s="1"/>
  <c r="AH66" i="2"/>
  <c r="X66" i="2"/>
  <c r="AH63" i="2"/>
  <c r="R64" i="3" s="1"/>
  <c r="X63" i="2"/>
  <c r="Z63" i="2" s="1"/>
  <c r="AH44" i="2"/>
  <c r="X44" i="2"/>
  <c r="AH28" i="2"/>
  <c r="X28" i="2"/>
  <c r="AH29" i="2"/>
  <c r="X29" i="2"/>
  <c r="AH15" i="2"/>
  <c r="X15" i="2"/>
  <c r="AH12" i="2"/>
  <c r="X12" i="2"/>
  <c r="AH59" i="2"/>
  <c r="X59" i="2"/>
  <c r="AH73" i="2"/>
  <c r="R74" i="3" s="1"/>
  <c r="X73" i="2"/>
  <c r="Z73" i="2" s="1"/>
  <c r="AH52" i="2"/>
  <c r="R53" i="3" s="1"/>
  <c r="X52" i="2"/>
  <c r="Z52" i="2" s="1"/>
  <c r="R55" i="3"/>
  <c r="AJ121" i="2"/>
  <c r="AL121" i="2" s="1"/>
  <c r="R70" i="3"/>
  <c r="AJ103" i="2"/>
  <c r="AL103" i="2" s="1"/>
  <c r="R54" i="3"/>
  <c r="Z79" i="2"/>
  <c r="R79" i="3"/>
  <c r="AJ117" i="2"/>
  <c r="AL117" i="2" s="1"/>
  <c r="O88" i="2"/>
  <c r="O83" i="2"/>
  <c r="O86" i="2"/>
  <c r="O87" i="2"/>
  <c r="O82" i="2"/>
  <c r="O85" i="2"/>
  <c r="P84" i="2"/>
  <c r="AJ153" i="2" l="1"/>
  <c r="AL153" i="2" s="1"/>
  <c r="Y61" i="2"/>
  <c r="AM120" i="2" s="1"/>
  <c r="AO120" i="2" s="1"/>
  <c r="Y75" i="2"/>
  <c r="AA75" i="2" s="1"/>
  <c r="AJ93" i="2"/>
  <c r="AL93" i="2" s="1"/>
  <c r="AJ99" i="2"/>
  <c r="AL99" i="2" s="1"/>
  <c r="AJ147" i="2"/>
  <c r="AL147" i="2" s="1"/>
  <c r="Y52" i="2"/>
  <c r="AA52" i="2" s="1"/>
  <c r="Z60" i="2"/>
  <c r="AJ101" i="2"/>
  <c r="AL101" i="2" s="1"/>
  <c r="Y78" i="2"/>
  <c r="AA78" i="2" s="1"/>
  <c r="AJ119" i="2"/>
  <c r="AL119" i="2" s="1"/>
  <c r="Y69" i="2"/>
  <c r="AA69" i="2" s="1"/>
  <c r="Z48" i="2"/>
  <c r="AB48" i="2" s="1"/>
  <c r="Y73" i="2"/>
  <c r="AM144" i="2" s="1"/>
  <c r="AO144" i="2" s="1"/>
  <c r="Z80" i="2"/>
  <c r="AB80" i="2" s="1"/>
  <c r="Z54" i="2"/>
  <c r="AB54" i="2" s="1"/>
  <c r="Z51" i="2"/>
  <c r="AB51" i="2" s="1"/>
  <c r="AJ105" i="2"/>
  <c r="AL105" i="2" s="1"/>
  <c r="Y60" i="2"/>
  <c r="AM118" i="2" s="1"/>
  <c r="Z69" i="2"/>
  <c r="AB69" i="2" s="1"/>
  <c r="AJ157" i="2"/>
  <c r="AK157" i="2" s="1"/>
  <c r="AJ143" i="2"/>
  <c r="AL143" i="2" s="1"/>
  <c r="Z65" i="2"/>
  <c r="AB65" i="2" s="1"/>
  <c r="Y62" i="2"/>
  <c r="AA62" i="2" s="1"/>
  <c r="AJ95" i="2"/>
  <c r="AL95" i="2" s="1"/>
  <c r="Z49" i="2"/>
  <c r="AB49" i="2" s="1"/>
  <c r="Y63" i="2"/>
  <c r="AM124" i="2" s="1"/>
  <c r="Y53" i="2"/>
  <c r="AM104" i="2" s="1"/>
  <c r="AO104" i="2" s="1"/>
  <c r="Z53" i="2"/>
  <c r="AB53" i="2" s="1"/>
  <c r="Z3" i="2"/>
  <c r="AB3" i="2" s="1"/>
  <c r="AJ89" i="2"/>
  <c r="AL89" i="2" s="1"/>
  <c r="Z50" i="2"/>
  <c r="AB50" i="2" s="1"/>
  <c r="Z70" i="2"/>
  <c r="AB70" i="2" s="1"/>
  <c r="AJ137" i="2"/>
  <c r="AL137" i="2" s="1"/>
  <c r="AJ109" i="2"/>
  <c r="AL109" i="2" s="1"/>
  <c r="AJ123" i="2"/>
  <c r="AK123" i="2" s="1"/>
  <c r="Z46" i="2"/>
  <c r="AB46" i="2" s="1"/>
  <c r="Y56" i="2"/>
  <c r="AM110" i="2" s="1"/>
  <c r="Z62" i="2"/>
  <c r="AB62" i="2" s="1"/>
  <c r="Y65" i="2"/>
  <c r="AA65" i="2" s="1"/>
  <c r="Y79" i="2"/>
  <c r="AM156" i="2" s="1"/>
  <c r="AO156" i="2" s="1"/>
  <c r="Y71" i="2"/>
  <c r="AM140" i="2" s="1"/>
  <c r="AO140" i="2" s="1"/>
  <c r="AJ139" i="2"/>
  <c r="AK139" i="2" s="1"/>
  <c r="AJ155" i="2"/>
  <c r="AK155" i="2" s="1"/>
  <c r="Y50" i="2"/>
  <c r="AM98" i="2" s="1"/>
  <c r="AO98" i="2" s="1"/>
  <c r="AJ3" i="2"/>
  <c r="AL3" i="2" s="1"/>
  <c r="AB75" i="2"/>
  <c r="AB60" i="2"/>
  <c r="AB52" i="2"/>
  <c r="AB71" i="2"/>
  <c r="AB79" i="2"/>
  <c r="O84" i="2"/>
  <c r="AB56" i="2"/>
  <c r="AB73" i="2"/>
  <c r="AB61" i="2"/>
  <c r="AB78" i="2"/>
  <c r="AB63" i="2"/>
  <c r="AK117" i="2"/>
  <c r="AK127" i="2"/>
  <c r="AK121" i="2"/>
  <c r="AA51" i="2"/>
  <c r="AM100" i="2"/>
  <c r="AA48" i="2"/>
  <c r="AM94" i="2"/>
  <c r="AK97" i="2"/>
  <c r="AK135" i="2"/>
  <c r="AA80" i="2"/>
  <c r="AM158" i="2"/>
  <c r="AA70" i="2"/>
  <c r="AM138" i="2"/>
  <c r="AO138" i="2" s="1"/>
  <c r="AK103" i="2"/>
  <c r="AA49" i="2"/>
  <c r="AM96" i="2"/>
  <c r="AO96" i="2" s="1"/>
  <c r="AA3" i="2"/>
  <c r="AM4" i="2"/>
  <c r="AO4" i="2" s="1"/>
  <c r="AA54" i="2"/>
  <c r="AM106" i="2"/>
  <c r="AO106" i="2" s="1"/>
  <c r="AA46" i="2"/>
  <c r="AC46" i="2" s="1"/>
  <c r="AM90" i="2"/>
  <c r="AO90" i="2" s="1"/>
  <c r="AK153" i="2" l="1"/>
  <c r="AA61" i="2"/>
  <c r="AC61" i="2" s="1"/>
  <c r="AM148" i="2"/>
  <c r="AO148" i="2" s="1"/>
  <c r="AM122" i="2"/>
  <c r="AO122" i="2" s="1"/>
  <c r="AK93" i="2"/>
  <c r="AK101" i="2"/>
  <c r="AM136" i="2"/>
  <c r="AO136" i="2" s="1"/>
  <c r="AK147" i="2"/>
  <c r="AM154" i="2"/>
  <c r="AO154" i="2" s="1"/>
  <c r="AK99" i="2"/>
  <c r="AM102" i="2"/>
  <c r="AO102" i="2" s="1"/>
  <c r="AK119" i="2"/>
  <c r="AA73" i="2"/>
  <c r="AC73" i="2" s="1"/>
  <c r="AK143" i="2"/>
  <c r="AK105" i="2"/>
  <c r="AA60" i="2"/>
  <c r="AC60" i="2" s="1"/>
  <c r="AL157" i="2"/>
  <c r="AA53" i="2"/>
  <c r="AC53" i="2" s="1"/>
  <c r="AA50" i="2"/>
  <c r="AC50" i="2" s="1"/>
  <c r="AK95" i="2"/>
  <c r="AA79" i="2"/>
  <c r="AC79" i="2" s="1"/>
  <c r="AL155" i="2"/>
  <c r="AA63" i="2"/>
  <c r="AC63" i="2" s="1"/>
  <c r="AK89" i="2"/>
  <c r="AL139" i="2"/>
  <c r="AK109" i="2"/>
  <c r="AK3" i="2"/>
  <c r="AA56" i="2"/>
  <c r="AC56" i="2" s="1"/>
  <c r="AA71" i="2"/>
  <c r="AC71" i="2" s="1"/>
  <c r="AK137" i="2"/>
  <c r="AL123" i="2"/>
  <c r="AM128" i="2"/>
  <c r="AO128" i="2" s="1"/>
  <c r="AC49" i="2"/>
  <c r="AC54" i="2"/>
  <c r="AC75" i="2"/>
  <c r="AC78" i="2"/>
  <c r="AC65" i="2"/>
  <c r="AC52" i="2"/>
  <c r="AN90" i="2"/>
  <c r="AN138" i="2"/>
  <c r="AN4" i="2"/>
  <c r="AN120" i="2"/>
  <c r="AN106" i="2"/>
  <c r="AN98" i="2"/>
  <c r="AC51" i="2"/>
  <c r="AC3" i="2"/>
  <c r="AN118" i="2"/>
  <c r="AO118" i="2"/>
  <c r="AC62" i="2"/>
  <c r="AC70" i="2"/>
  <c r="AN100" i="2"/>
  <c r="AO100" i="2"/>
  <c r="AN144" i="2"/>
  <c r="AN96" i="2"/>
  <c r="AC69" i="2"/>
  <c r="AN158" i="2"/>
  <c r="AO158" i="2"/>
  <c r="AN94" i="2"/>
  <c r="AO94" i="2"/>
  <c r="AN104" i="2"/>
  <c r="AN156" i="2"/>
  <c r="AN110" i="2"/>
  <c r="AO110" i="2"/>
  <c r="AC80" i="2"/>
  <c r="AC48" i="2"/>
  <c r="AN124" i="2"/>
  <c r="AO124" i="2"/>
  <c r="AN140" i="2"/>
  <c r="AN148" i="2" l="1"/>
  <c r="AN122" i="2"/>
  <c r="AN154" i="2"/>
  <c r="AN136" i="2"/>
  <c r="AN102" i="2"/>
  <c r="AN128" i="2"/>
  <c r="AJ133" i="2"/>
  <c r="R69" i="3"/>
  <c r="AJ23" i="2"/>
  <c r="AL23" i="2" s="1"/>
  <c r="R14" i="3"/>
  <c r="Z24" i="2"/>
  <c r="R25" i="3"/>
  <c r="Z57" i="2"/>
  <c r="AB57" i="2" s="1"/>
  <c r="R58" i="3"/>
  <c r="Y6" i="2"/>
  <c r="R7" i="3"/>
  <c r="Z19" i="2"/>
  <c r="AB19" i="2" s="1"/>
  <c r="R20" i="3"/>
  <c r="Y10" i="2"/>
  <c r="AA10" i="2" s="1"/>
  <c r="R11" i="3"/>
  <c r="AJ57" i="2"/>
  <c r="AL57" i="2" s="1"/>
  <c r="R31" i="3"/>
  <c r="AJ39" i="2"/>
  <c r="AL39" i="2" s="1"/>
  <c r="R22" i="3"/>
  <c r="Z5" i="2"/>
  <c r="R6" i="3"/>
  <c r="Y43" i="2"/>
  <c r="R44" i="3"/>
  <c r="AJ37" i="2"/>
  <c r="AL37" i="2" s="1"/>
  <c r="R21" i="3"/>
  <c r="Y76" i="2"/>
  <c r="R77" i="3"/>
  <c r="Z14" i="2"/>
  <c r="R15" i="3"/>
  <c r="Y22" i="2"/>
  <c r="R23" i="3"/>
  <c r="Z64" i="2"/>
  <c r="AB64" i="2" s="1"/>
  <c r="R65" i="3"/>
  <c r="AJ131" i="2"/>
  <c r="R68" i="3"/>
  <c r="Z28" i="2"/>
  <c r="AB28" i="2" s="1"/>
  <c r="R29" i="3"/>
  <c r="Z25" i="2"/>
  <c r="AB25" i="2" s="1"/>
  <c r="R26" i="3"/>
  <c r="AJ19" i="2"/>
  <c r="AL19" i="2" s="1"/>
  <c r="R12" i="3"/>
  <c r="Z66" i="2"/>
  <c r="AB66" i="2" s="1"/>
  <c r="R67" i="3"/>
  <c r="AJ113" i="2"/>
  <c r="AL113" i="2" s="1"/>
  <c r="R59" i="3"/>
  <c r="AJ21" i="2"/>
  <c r="AL21" i="2" s="1"/>
  <c r="R13" i="3"/>
  <c r="Z74" i="2"/>
  <c r="R75" i="3"/>
  <c r="Z29" i="2"/>
  <c r="R30" i="3"/>
  <c r="Y23" i="2"/>
  <c r="AM44" i="2" s="1"/>
  <c r="R24" i="3"/>
  <c r="AJ29" i="2"/>
  <c r="AL29" i="2" s="1"/>
  <c r="R17" i="3"/>
  <c r="R5" i="3"/>
  <c r="AJ5" i="2"/>
  <c r="AL5" i="2" s="1"/>
  <c r="AJ87" i="2"/>
  <c r="AL87" i="2" s="1"/>
  <c r="R46" i="3"/>
  <c r="Y55" i="2"/>
  <c r="R56" i="3"/>
  <c r="Z42" i="2"/>
  <c r="R43" i="3"/>
  <c r="AJ91" i="2"/>
  <c r="AL91" i="2" s="1"/>
  <c r="R48" i="3"/>
  <c r="AJ141" i="2"/>
  <c r="R73" i="3"/>
  <c r="Z44" i="2"/>
  <c r="R45" i="3"/>
  <c r="AJ49" i="2"/>
  <c r="AL49" i="2" s="1"/>
  <c r="R27" i="3"/>
  <c r="Y15" i="2"/>
  <c r="R16" i="3"/>
  <c r="AJ15" i="2"/>
  <c r="AL15" i="2" s="1"/>
  <c r="R10" i="3"/>
  <c r="Y17" i="2"/>
  <c r="R18" i="3"/>
  <c r="Z77" i="2"/>
  <c r="AB77" i="2" s="1"/>
  <c r="R78" i="3"/>
  <c r="Y27" i="2"/>
  <c r="R28" i="3"/>
  <c r="Z7" i="2"/>
  <c r="R8" i="3"/>
  <c r="Z8" i="2"/>
  <c r="R9" i="3"/>
  <c r="Y18" i="2"/>
  <c r="AA18" i="2" s="1"/>
  <c r="R19" i="3"/>
  <c r="Y19" i="2"/>
  <c r="AM36" i="2" s="1"/>
  <c r="R60" i="3"/>
  <c r="Y67" i="2" l="1"/>
  <c r="AA67" i="2" s="1"/>
  <c r="Z4" i="2"/>
  <c r="AB4" i="2" s="1"/>
  <c r="AM18" i="2"/>
  <c r="AO18" i="2" s="1"/>
  <c r="Y72" i="2"/>
  <c r="AM142" i="2" s="1"/>
  <c r="AJ25" i="2"/>
  <c r="AL25" i="2" s="1"/>
  <c r="Y24" i="2"/>
  <c r="AA24" i="2" s="1"/>
  <c r="Z21" i="2"/>
  <c r="AB21" i="2" s="1"/>
  <c r="Y68" i="2"/>
  <c r="AA68" i="2" s="1"/>
  <c r="AJ55" i="2"/>
  <c r="AL55" i="2" s="1"/>
  <c r="AJ83" i="2"/>
  <c r="AL83" i="2" s="1"/>
  <c r="Z22" i="2"/>
  <c r="AB22" i="2" s="1"/>
  <c r="AJ45" i="2"/>
  <c r="AL45" i="2" s="1"/>
  <c r="Z68" i="2"/>
  <c r="AB68" i="2" s="1"/>
  <c r="Y7" i="2"/>
  <c r="AA7" i="2" s="1"/>
  <c r="Z12" i="2"/>
  <c r="AB12" i="2" s="1"/>
  <c r="AJ129" i="2"/>
  <c r="AL129" i="2" s="1"/>
  <c r="AJ17" i="2"/>
  <c r="AL17" i="2" s="1"/>
  <c r="AJ9" i="2"/>
  <c r="AL9" i="2" s="1"/>
  <c r="Y45" i="2"/>
  <c r="AM88" i="2" s="1"/>
  <c r="AJ149" i="2"/>
  <c r="AK149" i="2" s="1"/>
  <c r="Z10" i="2"/>
  <c r="Z16" i="2"/>
  <c r="AB16" i="2" s="1"/>
  <c r="Z67" i="2"/>
  <c r="AB67" i="2" s="1"/>
  <c r="Y42" i="2"/>
  <c r="AA42" i="2" s="1"/>
  <c r="AJ47" i="2"/>
  <c r="AL47" i="2" s="1"/>
  <c r="Z72" i="2"/>
  <c r="AB72" i="2" s="1"/>
  <c r="AJ81" i="2"/>
  <c r="AL81" i="2" s="1"/>
  <c r="Z6" i="2"/>
  <c r="AB6" i="2" s="1"/>
  <c r="AJ41" i="2"/>
  <c r="AL41" i="2" s="1"/>
  <c r="Z76" i="2"/>
  <c r="Y21" i="2"/>
  <c r="AM40" i="2" s="1"/>
  <c r="AO40" i="2" s="1"/>
  <c r="Z43" i="2"/>
  <c r="AB43" i="2" s="1"/>
  <c r="Z45" i="2"/>
  <c r="AB45" i="2" s="1"/>
  <c r="Y29" i="2"/>
  <c r="AM56" i="2" s="1"/>
  <c r="AK39" i="2"/>
  <c r="AK15" i="2"/>
  <c r="AM34" i="2"/>
  <c r="AO34" i="2" s="1"/>
  <c r="Y12" i="2"/>
  <c r="AA12" i="2" s="1"/>
  <c r="Y66" i="2"/>
  <c r="AA66" i="2" s="1"/>
  <c r="AC66" i="2" s="1"/>
  <c r="AJ33" i="2"/>
  <c r="AL33" i="2" s="1"/>
  <c r="Z58" i="2"/>
  <c r="AB58" i="2" s="1"/>
  <c r="Y20" i="2"/>
  <c r="AM38" i="2" s="1"/>
  <c r="Z47" i="2"/>
  <c r="AB47" i="2" s="1"/>
  <c r="AK23" i="2"/>
  <c r="Z11" i="2"/>
  <c r="AB11" i="2" s="1"/>
  <c r="Z20" i="2"/>
  <c r="AB20" i="2" s="1"/>
  <c r="AJ85" i="2"/>
  <c r="AL85" i="2" s="1"/>
  <c r="AJ151" i="2"/>
  <c r="AL151" i="2" s="1"/>
  <c r="AJ11" i="2"/>
  <c r="AL11" i="2" s="1"/>
  <c r="Y16" i="2"/>
  <c r="AA16" i="2" s="1"/>
  <c r="Y4" i="2"/>
  <c r="AM6" i="2" s="1"/>
  <c r="Z17" i="2"/>
  <c r="AB17" i="2" s="1"/>
  <c r="AJ53" i="2"/>
  <c r="AL53" i="2" s="1"/>
  <c r="AA23" i="2"/>
  <c r="AC23" i="2" s="1"/>
  <c r="Y13" i="2"/>
  <c r="AA13" i="2" s="1"/>
  <c r="AC13" i="2" s="1"/>
  <c r="AJ111" i="2"/>
  <c r="AL111" i="2" s="1"/>
  <c r="AJ145" i="2"/>
  <c r="AL145" i="2" s="1"/>
  <c r="Y44" i="2"/>
  <c r="AM86" i="2" s="1"/>
  <c r="Y14" i="2"/>
  <c r="AA14" i="2" s="1"/>
  <c r="Y11" i="2"/>
  <c r="AA11" i="2" s="1"/>
  <c r="Y8" i="2"/>
  <c r="AA8" i="2" s="1"/>
  <c r="Y30" i="2"/>
  <c r="AA30" i="2" s="1"/>
  <c r="AC30" i="2" s="1"/>
  <c r="Z55" i="2"/>
  <c r="AB55" i="2" s="1"/>
  <c r="Y74" i="2"/>
  <c r="AM146" i="2" s="1"/>
  <c r="AO146" i="2" s="1"/>
  <c r="AJ35" i="2"/>
  <c r="AL35" i="2" s="1"/>
  <c r="AJ27" i="2"/>
  <c r="AL27" i="2" s="1"/>
  <c r="AJ7" i="2"/>
  <c r="AK7" i="2" s="1"/>
  <c r="Z30" i="2"/>
  <c r="AB30" i="2" s="1"/>
  <c r="Y58" i="2"/>
  <c r="AM114" i="2" s="1"/>
  <c r="AO114" i="2" s="1"/>
  <c r="Z13" i="2"/>
  <c r="AB13" i="2" s="1"/>
  <c r="Y28" i="2"/>
  <c r="AM54" i="2" s="1"/>
  <c r="AO54" i="2" s="1"/>
  <c r="Z15" i="2"/>
  <c r="AB15" i="2" s="1"/>
  <c r="Z27" i="2"/>
  <c r="AB27" i="2" s="1"/>
  <c r="Y47" i="2"/>
  <c r="AA47" i="2" s="1"/>
  <c r="AJ51" i="2"/>
  <c r="AL51" i="2" s="1"/>
  <c r="AJ107" i="2"/>
  <c r="AL107" i="2" s="1"/>
  <c r="AJ13" i="2"/>
  <c r="AL13" i="2" s="1"/>
  <c r="Z9" i="2"/>
  <c r="AB9" i="2" s="1"/>
  <c r="Y25" i="2"/>
  <c r="AA25" i="2" s="1"/>
  <c r="AC25" i="2" s="1"/>
  <c r="Z23" i="2"/>
  <c r="AB23" i="2" s="1"/>
  <c r="Y64" i="2"/>
  <c r="AA64" i="2" s="1"/>
  <c r="AC64" i="2" s="1"/>
  <c r="Y5" i="2"/>
  <c r="AM8" i="2" s="1"/>
  <c r="AJ125" i="2"/>
  <c r="AL125" i="2" s="1"/>
  <c r="AJ43" i="2"/>
  <c r="AL43" i="2" s="1"/>
  <c r="Z18" i="2"/>
  <c r="AB18" i="2" s="1"/>
  <c r="Y57" i="2"/>
  <c r="AA57" i="2" s="1"/>
  <c r="AC57" i="2" s="1"/>
  <c r="Y9" i="2"/>
  <c r="AM16" i="2" s="1"/>
  <c r="AO16" i="2" s="1"/>
  <c r="Y77" i="2"/>
  <c r="AA77" i="2" s="1"/>
  <c r="AC77" i="2" s="1"/>
  <c r="AJ31" i="2"/>
  <c r="AK31" i="2" s="1"/>
  <c r="Z26" i="2"/>
  <c r="AB26" i="2" s="1"/>
  <c r="Y26" i="2"/>
  <c r="AA19" i="2"/>
  <c r="AC19" i="2" s="1"/>
  <c r="AB10" i="2"/>
  <c r="AB76" i="2"/>
  <c r="AC10" i="2"/>
  <c r="AB74" i="2"/>
  <c r="AK29" i="2"/>
  <c r="AB24" i="2"/>
  <c r="AB42" i="2"/>
  <c r="AK5" i="2"/>
  <c r="AK49" i="2"/>
  <c r="AK57" i="2"/>
  <c r="AB5" i="2"/>
  <c r="AB29" i="2"/>
  <c r="AC18" i="2"/>
  <c r="AK91" i="2"/>
  <c r="AK87" i="2"/>
  <c r="AK113" i="2"/>
  <c r="Y59" i="2"/>
  <c r="AM116" i="2" s="1"/>
  <c r="AJ115" i="2"/>
  <c r="AA76" i="2"/>
  <c r="AC76" i="2" s="1"/>
  <c r="AM150" i="2"/>
  <c r="AN36" i="2"/>
  <c r="AO36" i="2"/>
  <c r="AM132" i="2"/>
  <c r="AA43" i="2"/>
  <c r="AM84" i="2"/>
  <c r="AK133" i="2"/>
  <c r="AL133" i="2"/>
  <c r="AA22" i="2"/>
  <c r="AM42" i="2"/>
  <c r="AO42" i="2" s="1"/>
  <c r="AA15" i="2"/>
  <c r="AM28" i="2"/>
  <c r="AK37" i="2"/>
  <c r="AN44" i="2"/>
  <c r="AO44" i="2"/>
  <c r="AA27" i="2"/>
  <c r="AM52" i="2"/>
  <c r="AK19" i="2"/>
  <c r="AA6" i="2"/>
  <c r="AM10" i="2"/>
  <c r="AO10" i="2" s="1"/>
  <c r="AK141" i="2"/>
  <c r="AL141" i="2"/>
  <c r="AA17" i="2"/>
  <c r="AM32" i="2"/>
  <c r="AK131" i="2"/>
  <c r="AL131" i="2"/>
  <c r="AA55" i="2"/>
  <c r="AM108" i="2"/>
  <c r="AK21" i="2"/>
  <c r="AB7" i="2"/>
  <c r="AB44" i="2"/>
  <c r="AB14" i="2"/>
  <c r="AB8" i="2"/>
  <c r="Z59" i="2"/>
  <c r="AA29" i="2" l="1"/>
  <c r="AC29" i="2" s="1"/>
  <c r="AM14" i="2"/>
  <c r="AO14" i="2" s="1"/>
  <c r="AK41" i="2"/>
  <c r="AA58" i="2"/>
  <c r="AC58" i="2" s="1"/>
  <c r="AK35" i="2"/>
  <c r="AK13" i="2"/>
  <c r="AA72" i="2"/>
  <c r="AC72" i="2" s="1"/>
  <c r="AM46" i="2"/>
  <c r="AN46" i="2" s="1"/>
  <c r="AA20" i="2"/>
  <c r="AK9" i="2"/>
  <c r="AM12" i="2"/>
  <c r="AN12" i="2" s="1"/>
  <c r="AM22" i="2"/>
  <c r="AN22" i="2" s="1"/>
  <c r="AK83" i="2"/>
  <c r="AA44" i="2"/>
  <c r="AC44" i="2" s="1"/>
  <c r="AK25" i="2"/>
  <c r="AK47" i="2"/>
  <c r="AL31" i="2"/>
  <c r="AN34" i="2"/>
  <c r="AK17" i="2"/>
  <c r="AK55" i="2"/>
  <c r="AN18" i="2"/>
  <c r="AA45" i="2"/>
  <c r="AC45" i="2" s="1"/>
  <c r="AN40" i="2"/>
  <c r="AM26" i="2"/>
  <c r="AO26" i="2" s="1"/>
  <c r="AM134" i="2"/>
  <c r="AO134" i="2" s="1"/>
  <c r="AN54" i="2"/>
  <c r="AK45" i="2"/>
  <c r="AM24" i="2"/>
  <c r="AO24" i="2" s="1"/>
  <c r="AK81" i="2"/>
  <c r="AL7" i="2"/>
  <c r="AK85" i="2"/>
  <c r="AA4" i="2"/>
  <c r="AC4" i="2" s="1"/>
  <c r="AA5" i="2"/>
  <c r="AC5" i="2" s="1"/>
  <c r="AK51" i="2"/>
  <c r="AA28" i="2"/>
  <c r="AC28" i="2" s="1"/>
  <c r="AN16" i="2"/>
  <c r="AA21" i="2"/>
  <c r="AC21" i="2" s="1"/>
  <c r="AM130" i="2"/>
  <c r="AO130" i="2" s="1"/>
  <c r="AL149" i="2"/>
  <c r="AM82" i="2"/>
  <c r="AO82" i="2" s="1"/>
  <c r="AK129" i="2"/>
  <c r="AK33" i="2"/>
  <c r="AK111" i="2"/>
  <c r="AA74" i="2"/>
  <c r="AC74" i="2" s="1"/>
  <c r="AK107" i="2"/>
  <c r="AK151" i="2"/>
  <c r="AM20" i="2"/>
  <c r="AN20" i="2" s="1"/>
  <c r="AK145" i="2"/>
  <c r="AK53" i="2"/>
  <c r="AK11" i="2"/>
  <c r="AM48" i="2"/>
  <c r="AN48" i="2" s="1"/>
  <c r="AM92" i="2"/>
  <c r="AN92" i="2" s="1"/>
  <c r="AM30" i="2"/>
  <c r="AO30" i="2" s="1"/>
  <c r="AM58" i="2"/>
  <c r="AO58" i="2" s="1"/>
  <c r="AK27" i="2"/>
  <c r="AM112" i="2"/>
  <c r="AO112" i="2" s="1"/>
  <c r="AM126" i="2"/>
  <c r="AN126" i="2" s="1"/>
  <c r="AK125" i="2"/>
  <c r="AA9" i="2"/>
  <c r="AC9" i="2" s="1"/>
  <c r="AK43" i="2"/>
  <c r="AM152" i="2"/>
  <c r="AO152" i="2" s="1"/>
  <c r="AA26" i="2"/>
  <c r="AC26" i="2" s="1"/>
  <c r="AM50" i="2"/>
  <c r="AC11" i="2"/>
  <c r="AA59" i="2"/>
  <c r="AC68" i="2"/>
  <c r="AC15" i="2"/>
  <c r="AC42" i="2"/>
  <c r="AC20" i="2"/>
  <c r="AC6" i="2"/>
  <c r="AN146" i="2"/>
  <c r="AN42" i="2"/>
  <c r="AN10" i="2"/>
  <c r="AN108" i="2"/>
  <c r="AO108" i="2"/>
  <c r="AN32" i="2"/>
  <c r="AO32" i="2"/>
  <c r="AN6" i="2"/>
  <c r="AO6" i="2"/>
  <c r="AN88" i="2"/>
  <c r="AO88" i="2"/>
  <c r="AN52" i="2"/>
  <c r="AO52" i="2"/>
  <c r="AN56" i="2"/>
  <c r="AO56" i="2"/>
  <c r="AC67" i="2"/>
  <c r="AC24" i="2"/>
  <c r="AN150" i="2"/>
  <c r="AO150" i="2"/>
  <c r="AN14" i="2"/>
  <c r="AC17" i="2"/>
  <c r="AN38" i="2"/>
  <c r="AO38" i="2"/>
  <c r="AC27" i="2"/>
  <c r="AN142" i="2"/>
  <c r="AO142" i="2"/>
  <c r="AC22" i="2"/>
  <c r="AN84" i="2"/>
  <c r="AO84" i="2"/>
  <c r="AN86" i="2"/>
  <c r="AO86" i="2"/>
  <c r="AC8" i="2"/>
  <c r="AC14" i="2"/>
  <c r="AN114" i="2"/>
  <c r="AC7" i="2"/>
  <c r="AC16" i="2"/>
  <c r="AC12" i="2"/>
  <c r="AC43" i="2"/>
  <c r="AK115" i="2"/>
  <c r="AL115" i="2"/>
  <c r="AC55" i="2"/>
  <c r="AN28" i="2"/>
  <c r="AO28" i="2"/>
  <c r="AN8" i="2"/>
  <c r="AO8" i="2"/>
  <c r="AC47" i="2"/>
  <c r="AN132" i="2"/>
  <c r="AO132" i="2"/>
  <c r="AN116" i="2"/>
  <c r="AO116" i="2"/>
  <c r="AB59" i="2"/>
  <c r="AO22" i="2" l="1"/>
  <c r="AO46" i="2"/>
  <c r="AO12" i="2"/>
  <c r="AN26" i="2"/>
  <c r="AN134" i="2"/>
  <c r="AN30" i="2"/>
  <c r="AO92" i="2"/>
  <c r="AO20" i="2"/>
  <c r="AN24" i="2"/>
  <c r="AN130" i="2"/>
  <c r="AN82" i="2"/>
  <c r="AO126" i="2"/>
  <c r="AN112" i="2"/>
  <c r="AO48" i="2"/>
  <c r="AN58" i="2"/>
  <c r="AN152" i="2"/>
  <c r="AO50" i="2"/>
  <c r="AN50" i="2"/>
  <c r="AC59" i="2"/>
  <c r="R38" i="3" l="1"/>
  <c r="Z37" i="2"/>
  <c r="AJ73" i="2"/>
  <c r="AL73" i="2" s="1"/>
  <c r="R39" i="3"/>
  <c r="R32" i="3"/>
  <c r="Y31" i="2"/>
  <c r="AM60" i="2" s="1"/>
  <c r="R37" i="3"/>
  <c r="Y36" i="2"/>
  <c r="AJ63" i="2"/>
  <c r="AL63" i="2" s="1"/>
  <c r="R34" i="3"/>
  <c r="Y32" i="2"/>
  <c r="R33" i="3"/>
  <c r="R35" i="3"/>
  <c r="Y34" i="2"/>
  <c r="R36" i="3"/>
  <c r="R40" i="3"/>
  <c r="R42" i="3"/>
  <c r="Y33" i="2" l="1"/>
  <c r="AA33" i="2" s="1"/>
  <c r="Y38" i="2"/>
  <c r="AM74" i="2" s="1"/>
  <c r="AO74" i="2" s="1"/>
  <c r="Z33" i="2"/>
  <c r="AB33" i="2" s="1"/>
  <c r="AJ71" i="2"/>
  <c r="AL71" i="2" s="1"/>
  <c r="AJ59" i="2"/>
  <c r="AL59" i="2" s="1"/>
  <c r="Y37" i="2"/>
  <c r="AA37" i="2" s="1"/>
  <c r="Z38" i="2"/>
  <c r="AB38" i="2" s="1"/>
  <c r="Z34" i="2"/>
  <c r="AB34" i="2" s="1"/>
  <c r="Z32" i="2"/>
  <c r="AB32" i="2" s="1"/>
  <c r="Z31" i="2"/>
  <c r="AB31" i="2" s="1"/>
  <c r="Z36" i="2"/>
  <c r="AB36" i="2" s="1"/>
  <c r="AJ65" i="2"/>
  <c r="AL65" i="2" s="1"/>
  <c r="AJ61" i="2"/>
  <c r="AL61" i="2" s="1"/>
  <c r="AJ69" i="2"/>
  <c r="AL69" i="2" s="1"/>
  <c r="AA31" i="2"/>
  <c r="AC31" i="2" s="1"/>
  <c r="AK73" i="2"/>
  <c r="Y39" i="2"/>
  <c r="AJ75" i="2"/>
  <c r="AL75" i="2" s="1"/>
  <c r="AM64" i="2"/>
  <c r="AA34" i="2"/>
  <c r="AM66" i="2"/>
  <c r="AO66" i="2" s="1"/>
  <c r="Y41" i="2"/>
  <c r="AJ79" i="2"/>
  <c r="AL79" i="2" s="1"/>
  <c r="Y35" i="2"/>
  <c r="AJ67" i="2"/>
  <c r="AL67" i="2" s="1"/>
  <c r="AN60" i="2"/>
  <c r="AO60" i="2"/>
  <c r="AK63" i="2"/>
  <c r="AA32" i="2"/>
  <c r="AM62" i="2"/>
  <c r="AA36" i="2"/>
  <c r="AM70" i="2"/>
  <c r="AB37" i="2"/>
  <c r="Z41" i="2"/>
  <c r="Z35" i="2"/>
  <c r="Z39" i="2"/>
  <c r="AA38" i="2" l="1"/>
  <c r="AC38" i="2" s="1"/>
  <c r="AM72" i="2"/>
  <c r="AN72" i="2" s="1"/>
  <c r="AK59" i="2"/>
  <c r="AK71" i="2"/>
  <c r="AK61" i="2"/>
  <c r="AK65" i="2"/>
  <c r="AK69" i="2"/>
  <c r="AK67" i="2"/>
  <c r="AK79" i="2"/>
  <c r="AN74" i="2"/>
  <c r="AC34" i="2"/>
  <c r="AC33" i="2"/>
  <c r="AA41" i="2"/>
  <c r="AM80" i="2"/>
  <c r="AN62" i="2"/>
  <c r="AO62" i="2"/>
  <c r="AN70" i="2"/>
  <c r="AO70" i="2"/>
  <c r="AC32" i="2"/>
  <c r="AA35" i="2"/>
  <c r="AM68" i="2"/>
  <c r="AC37" i="2"/>
  <c r="AK75" i="2"/>
  <c r="AC36" i="2"/>
  <c r="AN66" i="2"/>
  <c r="AN64" i="2"/>
  <c r="AO64" i="2"/>
  <c r="AA39" i="2"/>
  <c r="AM76" i="2"/>
  <c r="AB41" i="2"/>
  <c r="AB39" i="2"/>
  <c r="AB35" i="2"/>
  <c r="AO72" i="2" l="1"/>
  <c r="R41" i="3"/>
  <c r="X81" i="2"/>
  <c r="AN76" i="2"/>
  <c r="AO76" i="2"/>
  <c r="AC39" i="2"/>
  <c r="AC41" i="2"/>
  <c r="AN68" i="2"/>
  <c r="AO68" i="2"/>
  <c r="AN80" i="2"/>
  <c r="AO80" i="2"/>
  <c r="AC35" i="2"/>
  <c r="Y40" i="2" l="1"/>
  <c r="AM78" i="2" s="1"/>
  <c r="AO78" i="2" s="1"/>
  <c r="Z40" i="2"/>
  <c r="Z81" i="2" s="1"/>
  <c r="AJ77" i="2"/>
  <c r="AL77" i="2" s="1"/>
  <c r="R18" i="2"/>
  <c r="AJ159" i="2"/>
  <c r="AL159" i="2" s="1"/>
  <c r="Y81" i="2"/>
  <c r="R19" i="2" l="1"/>
  <c r="B25" i="3" s="1"/>
  <c r="S81" i="2"/>
  <c r="AA40" i="2"/>
  <c r="AA81" i="2" s="1"/>
  <c r="AB40" i="2"/>
  <c r="AN78" i="2"/>
  <c r="AK77" i="2"/>
  <c r="AK159" i="2"/>
  <c r="B24" i="3"/>
  <c r="R21" i="2"/>
  <c r="AM160" i="2"/>
  <c r="AO160" i="2" s="1"/>
  <c r="AD40" i="2"/>
  <c r="AD81" i="2"/>
  <c r="AB81" i="2"/>
  <c r="AD79" i="2"/>
  <c r="AD73" i="2"/>
  <c r="AD61" i="2"/>
  <c r="AD65" i="2"/>
  <c r="AD49" i="2"/>
  <c r="AD69" i="2"/>
  <c r="AD78" i="2"/>
  <c r="AD46" i="2"/>
  <c r="AD3" i="2"/>
  <c r="AD70" i="2"/>
  <c r="AD56" i="2"/>
  <c r="AD52" i="2"/>
  <c r="AD80" i="2"/>
  <c r="AD62" i="2"/>
  <c r="AD53" i="2"/>
  <c r="AD75" i="2"/>
  <c r="AD71" i="2"/>
  <c r="AD51" i="2"/>
  <c r="AD63" i="2"/>
  <c r="AD50" i="2"/>
  <c r="AD60" i="2"/>
  <c r="AD54" i="2"/>
  <c r="AD48" i="2"/>
  <c r="AD22" i="2"/>
  <c r="AD47" i="2"/>
  <c r="AD23" i="2"/>
  <c r="AD6" i="2"/>
  <c r="AD10" i="2"/>
  <c r="AD21" i="2"/>
  <c r="AD13" i="2"/>
  <c r="AD14" i="2"/>
  <c r="AD67" i="2"/>
  <c r="AD15" i="2"/>
  <c r="AD29" i="2"/>
  <c r="AD25" i="2"/>
  <c r="AD11" i="2"/>
  <c r="AD5" i="2"/>
  <c r="AD30" i="2"/>
  <c r="AD72" i="2"/>
  <c r="AD64" i="2"/>
  <c r="AD12" i="2"/>
  <c r="AD8" i="2"/>
  <c r="AD24" i="2"/>
  <c r="AD16" i="2"/>
  <c r="AD76" i="2"/>
  <c r="AD17" i="2"/>
  <c r="AD45" i="2"/>
  <c r="AD19" i="2"/>
  <c r="AD55" i="2"/>
  <c r="AD18" i="2"/>
  <c r="AD9" i="2"/>
  <c r="AD7" i="2"/>
  <c r="AD43" i="2"/>
  <c r="AD26" i="2"/>
  <c r="AD57" i="2"/>
  <c r="AD77" i="2"/>
  <c r="AD27" i="2"/>
  <c r="AD66" i="2"/>
  <c r="AD58" i="2"/>
  <c r="AD44" i="2"/>
  <c r="AD28" i="2"/>
  <c r="AD20" i="2"/>
  <c r="AD74" i="2"/>
  <c r="AD68" i="2"/>
  <c r="AD42" i="2"/>
  <c r="AD59" i="2"/>
  <c r="AD4" i="2"/>
  <c r="AD37" i="2"/>
  <c r="AD33" i="2"/>
  <c r="AD32" i="2"/>
  <c r="AD38" i="2"/>
  <c r="AD36" i="2"/>
  <c r="AD34" i="2"/>
  <c r="AD35" i="2"/>
  <c r="AD39" i="2"/>
  <c r="AD31" i="2"/>
  <c r="AD41" i="2"/>
  <c r="AH81" i="2" l="1"/>
  <c r="R82" i="3" s="1"/>
  <c r="D31" i="3"/>
  <c r="AC40" i="2"/>
  <c r="AN160" i="2"/>
  <c r="AE40" i="2"/>
  <c r="AE81" i="2"/>
  <c r="AC81" i="2"/>
  <c r="AE50" i="2"/>
  <c r="AE62" i="2"/>
  <c r="AE71" i="2"/>
  <c r="AE51" i="2"/>
  <c r="AE63" i="2"/>
  <c r="AE70" i="2"/>
  <c r="AE48" i="2"/>
  <c r="AE60" i="2"/>
  <c r="AE53" i="2"/>
  <c r="AE54" i="2"/>
  <c r="AE49" i="2"/>
  <c r="AE69" i="2"/>
  <c r="AE75" i="2"/>
  <c r="AE65" i="2"/>
  <c r="AE52" i="2"/>
  <c r="AE56" i="2"/>
  <c r="AE80" i="2"/>
  <c r="AE61" i="2"/>
  <c r="AE78" i="2"/>
  <c r="AE79" i="2"/>
  <c r="AE73" i="2"/>
  <c r="AE46" i="2"/>
  <c r="AE3" i="2"/>
  <c r="AE15" i="2"/>
  <c r="AE44" i="2"/>
  <c r="AE55" i="2"/>
  <c r="AE28" i="2"/>
  <c r="AE18" i="2"/>
  <c r="AE13" i="2"/>
  <c r="AE17" i="2"/>
  <c r="AE45" i="2"/>
  <c r="AE74" i="2"/>
  <c r="AE76" i="2"/>
  <c r="AE19" i="2"/>
  <c r="AE29" i="2"/>
  <c r="AE25" i="2"/>
  <c r="AE11" i="2"/>
  <c r="AE5" i="2"/>
  <c r="AE68" i="2"/>
  <c r="AE58" i="2"/>
  <c r="AE72" i="2"/>
  <c r="AE22" i="2"/>
  <c r="AE24" i="2"/>
  <c r="AE16" i="2"/>
  <c r="AE9" i="2"/>
  <c r="AE43" i="2"/>
  <c r="AE7" i="2"/>
  <c r="AE26" i="2"/>
  <c r="AE6" i="2"/>
  <c r="AE10" i="2"/>
  <c r="AE21" i="2"/>
  <c r="AE8" i="2"/>
  <c r="AE67" i="2"/>
  <c r="AE57" i="2"/>
  <c r="AE20" i="2"/>
  <c r="AE64" i="2"/>
  <c r="AE12" i="2"/>
  <c r="AE77" i="2"/>
  <c r="AE47" i="2"/>
  <c r="AE42" i="2"/>
  <c r="AE27" i="2"/>
  <c r="AE30" i="2"/>
  <c r="AE23" i="2"/>
  <c r="AE14" i="2"/>
  <c r="AE66" i="2"/>
  <c r="AE4" i="2"/>
  <c r="AE59" i="2"/>
  <c r="AE32" i="2"/>
  <c r="AE38" i="2"/>
  <c r="AE34" i="2"/>
  <c r="AE33" i="2"/>
  <c r="AE36" i="2"/>
  <c r="AE37" i="2"/>
  <c r="AE31" i="2"/>
  <c r="AE35" i="2"/>
  <c r="AE39" i="2"/>
  <c r="AE41" i="2"/>
</calcChain>
</file>

<file path=xl/sharedStrings.xml><?xml version="1.0" encoding="utf-8"?>
<sst xmlns="http://schemas.openxmlformats.org/spreadsheetml/2006/main" count="224" uniqueCount="174">
  <si>
    <t>Far North District</t>
  </si>
  <si>
    <t>Kaipara District</t>
  </si>
  <si>
    <t>Whangarei District</t>
  </si>
  <si>
    <t>Auckland</t>
  </si>
  <si>
    <t>Hamilton City</t>
  </si>
  <si>
    <t>Hauraki District</t>
  </si>
  <si>
    <t>Matamata-Piako District</t>
  </si>
  <si>
    <t>Otorohanga District</t>
  </si>
  <si>
    <t>South Waikato District</t>
  </si>
  <si>
    <t>Taupo District</t>
  </si>
  <si>
    <t>Thames-Coromandel District</t>
  </si>
  <si>
    <t>Waikato District</t>
  </si>
  <si>
    <t>Waipa District</t>
  </si>
  <si>
    <t>Waitomo District</t>
  </si>
  <si>
    <t>Kawerau District</t>
  </si>
  <si>
    <t>Opotiki District</t>
  </si>
  <si>
    <t>Rotorua District</t>
  </si>
  <si>
    <t>Tauranga City</t>
  </si>
  <si>
    <t>Western Bay of Plenty District</t>
  </si>
  <si>
    <t>Gisborne District</t>
  </si>
  <si>
    <t>Central Hawke's Bay District</t>
  </si>
  <si>
    <t>Hastings District</t>
  </si>
  <si>
    <t>Napier City</t>
  </si>
  <si>
    <t>Wairoa District</t>
  </si>
  <si>
    <t>New Plymouth District</t>
  </si>
  <si>
    <t>South Taranaki District</t>
  </si>
  <si>
    <t>Stratford District</t>
  </si>
  <si>
    <t>Horowhenua District</t>
  </si>
  <si>
    <t>Manawatu District</t>
  </si>
  <si>
    <t>Palmerston North City</t>
  </si>
  <si>
    <t>Rangitikei District</t>
  </si>
  <si>
    <t>Ruapehu District</t>
  </si>
  <si>
    <t>Tararua District</t>
  </si>
  <si>
    <t>Wanganui District</t>
  </si>
  <si>
    <t>Carterton District</t>
  </si>
  <si>
    <t>Kapiti Coast District</t>
  </si>
  <si>
    <t>Lower Hutt City</t>
  </si>
  <si>
    <t>Masterton District</t>
  </si>
  <si>
    <t>Porirua City</t>
  </si>
  <si>
    <t>South Wairarapa District</t>
  </si>
  <si>
    <t>Upper Hutt City</t>
  </si>
  <si>
    <t>Wellington City</t>
  </si>
  <si>
    <t>Kaikoura District</t>
  </si>
  <si>
    <t>Marlborough District</t>
  </si>
  <si>
    <t>Nelson City</t>
  </si>
  <si>
    <t>Tasman District</t>
  </si>
  <si>
    <t>Ashburton District</t>
  </si>
  <si>
    <t>Christchurch City</t>
  </si>
  <si>
    <t>Hurunui District</t>
  </si>
  <si>
    <t>Mackenzie District</t>
  </si>
  <si>
    <t>Selwyn District</t>
  </si>
  <si>
    <t>Timaru District</t>
  </si>
  <si>
    <t>Waimakariri District</t>
  </si>
  <si>
    <t>Waimate District</t>
  </si>
  <si>
    <t>Buller District</t>
  </si>
  <si>
    <t>Grey District</t>
  </si>
  <si>
    <t>Westland District</t>
  </si>
  <si>
    <t>Central Otago District</t>
  </si>
  <si>
    <t>Clutha District</t>
  </si>
  <si>
    <t>Dunedin City</t>
  </si>
  <si>
    <t>Queenstown-Lakes District</t>
  </si>
  <si>
    <t>Waitaki District</t>
  </si>
  <si>
    <t>Gore District</t>
  </si>
  <si>
    <t>Invercargill City</t>
  </si>
  <si>
    <t>Southland District</t>
  </si>
  <si>
    <t>Chatham Islands Territory</t>
  </si>
  <si>
    <t>Northland Regional</t>
  </si>
  <si>
    <t>Waikato Regional</t>
  </si>
  <si>
    <t>Bay of Plenty Regional</t>
  </si>
  <si>
    <t>Hawkes Bay Regional</t>
  </si>
  <si>
    <t>Taranaki Regional</t>
  </si>
  <si>
    <t>Manawatu-Wanganui Regional</t>
  </si>
  <si>
    <t>Wellington Regional</t>
  </si>
  <si>
    <t>West Coast Regional</t>
  </si>
  <si>
    <t>Canterbury Regional</t>
  </si>
  <si>
    <t>Otago Regional</t>
  </si>
  <si>
    <t>Southland Regional</t>
  </si>
  <si>
    <t>Capital Value</t>
  </si>
  <si>
    <t>Source</t>
  </si>
  <si>
    <t>Date</t>
  </si>
  <si>
    <t>Quoteable Value</t>
  </si>
  <si>
    <t>Ministry of Health</t>
  </si>
  <si>
    <t>Rateable Units</t>
  </si>
  <si>
    <t>NZ Transport Agency</t>
  </si>
  <si>
    <t>NZ Index of Deprivation</t>
  </si>
  <si>
    <t>Match</t>
  </si>
  <si>
    <t>AO Code</t>
  </si>
  <si>
    <t>AO Name</t>
  </si>
  <si>
    <t>Weight</t>
  </si>
  <si>
    <t>NZ Dep</t>
  </si>
  <si>
    <t>Column</t>
  </si>
  <si>
    <t>Minimum</t>
  </si>
  <si>
    <t>Maximum</t>
  </si>
  <si>
    <t>Range</t>
  </si>
  <si>
    <t>Componet Weights</t>
  </si>
  <si>
    <t>Rank</t>
  </si>
  <si>
    <t>Order</t>
  </si>
  <si>
    <t xml:space="preserve">Normalised </t>
  </si>
  <si>
    <t>Combined</t>
  </si>
  <si>
    <t>Median</t>
  </si>
  <si>
    <t>Raw</t>
  </si>
  <si>
    <t>2009/10</t>
  </si>
  <si>
    <t>Total Cost</t>
  </si>
  <si>
    <t>NLTF</t>
  </si>
  <si>
    <t>Average FAR</t>
  </si>
  <si>
    <t>2010/11</t>
  </si>
  <si>
    <t>2011/12</t>
  </si>
  <si>
    <t>2012/13</t>
  </si>
  <si>
    <t>2009/13</t>
  </si>
  <si>
    <t>FAR</t>
  </si>
  <si>
    <t>Core</t>
  </si>
  <si>
    <t>Overall</t>
  </si>
  <si>
    <t>Future</t>
  </si>
  <si>
    <t>2009/13 Financials</t>
  </si>
  <si>
    <t>Local Share</t>
  </si>
  <si>
    <t>Future Financials</t>
  </si>
  <si>
    <t>Change</t>
  </si>
  <si>
    <t>Current</t>
  </si>
  <si>
    <t>Result</t>
  </si>
  <si>
    <t>Correction</t>
  </si>
  <si>
    <t>n</t>
  </si>
  <si>
    <t>y</t>
  </si>
  <si>
    <t>lists</t>
  </si>
  <si>
    <t>Initial</t>
  </si>
  <si>
    <t>Multiplier</t>
  </si>
  <si>
    <t>Approved Organisation</t>
  </si>
  <si>
    <t>2009/12 average FAR</t>
  </si>
  <si>
    <t>match</t>
  </si>
  <si>
    <t>National</t>
  </si>
  <si>
    <t>2. FAR System settings</t>
  </si>
  <si>
    <t>New Zealand Transport Agency</t>
  </si>
  <si>
    <t>Centreline KM</t>
  </si>
  <si>
    <t>Centreline KM / Capital Value</t>
  </si>
  <si>
    <t>Interquartile range</t>
  </si>
  <si>
    <t>Change % AO</t>
  </si>
  <si>
    <t>Change % National</t>
  </si>
  <si>
    <t>Standard deviation</t>
  </si>
  <si>
    <t>Average</t>
  </si>
  <si>
    <t>Normalise</t>
  </si>
  <si>
    <t>AO</t>
  </si>
  <si>
    <t>Increase</t>
  </si>
  <si>
    <t>Decrease</t>
  </si>
  <si>
    <t>RC</t>
  </si>
  <si>
    <t>core</t>
  </si>
  <si>
    <t>overall</t>
  </si>
  <si>
    <t>natural</t>
  </si>
  <si>
    <t>Chathams</t>
  </si>
  <si>
    <t>Normal FAR for 2015/18</t>
  </si>
  <si>
    <t>Inputs</t>
  </si>
  <si>
    <t>Local road centreline kilometers</t>
  </si>
  <si>
    <t>Net equalised capital value</t>
  </si>
  <si>
    <t>Index of deprivation</t>
  </si>
  <si>
    <t>Recent NLTP</t>
  </si>
  <si>
    <t>Calculation</t>
  </si>
  <si>
    <t>Minimum FAR</t>
  </si>
  <si>
    <t>Maximum FAR</t>
  </si>
  <si>
    <t>Check difference</t>
  </si>
  <si>
    <t>Adjust multiplier when outside tolerance</t>
  </si>
  <si>
    <t>Overall national rate</t>
  </si>
  <si>
    <t>Maximum (Mainland)</t>
  </si>
  <si>
    <t>Maximum (off Mainland)</t>
  </si>
  <si>
    <t>4. Change multiplier to</t>
  </si>
  <si>
    <t xml:space="preserve">     get under 0.01% tolerance</t>
  </si>
  <si>
    <t>1. Inputs</t>
  </si>
  <si>
    <t>Number of rating units</t>
  </si>
  <si>
    <t>Overall co-investment rate</t>
  </si>
  <si>
    <t>Total cost of all activities for recent period</t>
  </si>
  <si>
    <t>Read Me</t>
  </si>
  <si>
    <t>3. Sort data</t>
  </si>
  <si>
    <t>Step 3. Sort ascending A3:B80 by column A</t>
  </si>
  <si>
    <t>Model sheet A3:B80</t>
  </si>
  <si>
    <t xml:space="preserve">for ease of presentation </t>
  </si>
  <si>
    <t xml:space="preserve"> November 2014</t>
  </si>
  <si>
    <t>For easy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</si>
</sst>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0"/>
      <color theme="1"/>
      <name val="Lucida Sans"/>
      <family val="2"/>
    </font>
    <font>
      <sz val="12"/>
      <color theme="1"/>
      <name val="Lucida Sans"/>
      <family val="2"/>
    </font>
    <font>
      <b/>
      <sz val="12"/>
      <color theme="1"/>
      <name val="Lucida Sans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3" borderId="16" applyNumberFormat="0" applyAlignment="0" applyProtection="0"/>
    <xf numFmtId="0" fontId="8" fillId="0" borderId="0"/>
  </cellStyleXfs>
  <cellXfs count="106">
    <xf numFmtId="0" fontId="0" fillId="0" borderId="0" xfId="0"/>
    <xf numFmtId="0" fontId="0" fillId="0" borderId="0" xfId="0"/>
    <xf numFmtId="9" fontId="0" fillId="0" borderId="0" xfId="1" applyFont="1"/>
    <xf numFmtId="0" fontId="0" fillId="0" borderId="0" xfId="1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9" fontId="0" fillId="0" borderId="0" xfId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9" fontId="0" fillId="0" borderId="0" xfId="0" applyNumberFormat="1" applyBorder="1"/>
    <xf numFmtId="0" fontId="0" fillId="0" borderId="8" xfId="0" applyBorder="1"/>
    <xf numFmtId="0" fontId="0" fillId="0" borderId="9" xfId="0" applyBorder="1"/>
    <xf numFmtId="9" fontId="0" fillId="0" borderId="5" xfId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Fill="1" applyBorder="1"/>
    <xf numFmtId="0" fontId="0" fillId="0" borderId="13" xfId="0" applyBorder="1"/>
    <xf numFmtId="0" fontId="0" fillId="0" borderId="10" xfId="1" applyNumberFormat="1" applyFont="1" applyBorder="1"/>
    <xf numFmtId="10" fontId="0" fillId="0" borderId="10" xfId="1" applyNumberFormat="1" applyFont="1" applyBorder="1"/>
    <xf numFmtId="9" fontId="0" fillId="0" borderId="4" xfId="1" applyFont="1" applyBorder="1"/>
    <xf numFmtId="9" fontId="0" fillId="0" borderId="12" xfId="1" applyFont="1" applyBorder="1"/>
    <xf numFmtId="0" fontId="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/>
    <xf numFmtId="0" fontId="0" fillId="0" borderId="0" xfId="0" applyNumberFormat="1"/>
    <xf numFmtId="0" fontId="0" fillId="0" borderId="4" xfId="0" applyFill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10" xfId="1" applyNumberFormat="1" applyFont="1" applyBorder="1"/>
    <xf numFmtId="165" fontId="0" fillId="0" borderId="12" xfId="1" applyNumberFormat="1" applyFont="1" applyBorder="1"/>
    <xf numFmtId="9" fontId="0" fillId="0" borderId="10" xfId="1" applyFont="1" applyBorder="1"/>
    <xf numFmtId="0" fontId="0" fillId="0" borderId="2" xfId="0" applyFill="1" applyBorder="1"/>
    <xf numFmtId="9" fontId="0" fillId="0" borderId="7" xfId="1" applyFont="1" applyBorder="1"/>
    <xf numFmtId="9" fontId="0" fillId="0" borderId="3" xfId="1" applyFont="1" applyBorder="1"/>
    <xf numFmtId="9" fontId="0" fillId="0" borderId="13" xfId="1" applyFont="1" applyBorder="1"/>
    <xf numFmtId="9" fontId="0" fillId="0" borderId="15" xfId="1" applyFont="1" applyBorder="1"/>
    <xf numFmtId="9" fontId="0" fillId="0" borderId="14" xfId="1" applyFont="1" applyBorder="1"/>
    <xf numFmtId="9" fontId="0" fillId="0" borderId="10" xfId="0" applyNumberFormat="1" applyBorder="1"/>
    <xf numFmtId="0" fontId="2" fillId="0" borderId="0" xfId="0" applyFont="1" applyProtection="1"/>
    <xf numFmtId="0" fontId="0" fillId="0" borderId="0" xfId="0" applyProtection="1"/>
    <xf numFmtId="164" fontId="2" fillId="0" borderId="0" xfId="0" quotePrefix="1" applyNumberFormat="1" applyFont="1" applyAlignment="1" applyProtection="1">
      <alignment horizontal="left"/>
    </xf>
    <xf numFmtId="0" fontId="6" fillId="0" borderId="0" xfId="2" applyFont="1" applyProtection="1"/>
    <xf numFmtId="0" fontId="0" fillId="0" borderId="0" xfId="0" applyAlignment="1" applyProtection="1">
      <alignment horizontal="center"/>
    </xf>
    <xf numFmtId="0" fontId="0" fillId="0" borderId="1" xfId="0" applyBorder="1" applyProtection="1"/>
    <xf numFmtId="9" fontId="0" fillId="0" borderId="0" xfId="1" applyFont="1" applyProtection="1"/>
    <xf numFmtId="9" fontId="0" fillId="0" borderId="1" xfId="1" applyFont="1" applyBorder="1" applyProtection="1"/>
    <xf numFmtId="0" fontId="2" fillId="2" borderId="2" xfId="0" applyFont="1" applyFill="1" applyBorder="1" applyProtection="1"/>
    <xf numFmtId="0" fontId="2" fillId="2" borderId="8" xfId="0" applyFont="1" applyFill="1" applyBorder="1" applyAlignment="1" applyProtection="1">
      <alignment horizontal="left"/>
    </xf>
    <xf numFmtId="0" fontId="2" fillId="2" borderId="8" xfId="0" applyFont="1" applyFill="1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2" borderId="4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6" xfId="0" applyFill="1" applyBorder="1" applyProtection="1"/>
    <xf numFmtId="0" fontId="0" fillId="2" borderId="9" xfId="0" applyFill="1" applyBorder="1" applyProtection="1"/>
    <xf numFmtId="0" fontId="0" fillId="0" borderId="7" xfId="0" applyBorder="1" applyProtection="1"/>
    <xf numFmtId="0" fontId="0" fillId="2" borderId="3" xfId="0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horizontal="center"/>
    </xf>
    <xf numFmtId="0" fontId="0" fillId="0" borderId="14" xfId="0" applyBorder="1" applyProtection="1"/>
    <xf numFmtId="9" fontId="0" fillId="0" borderId="0" xfId="1" applyFont="1" applyFill="1" applyBorder="1" applyProtection="1"/>
    <xf numFmtId="0" fontId="2" fillId="0" borderId="2" xfId="0" applyFont="1" applyBorder="1" applyProtection="1"/>
    <xf numFmtId="0" fontId="2" fillId="0" borderId="4" xfId="0" applyFont="1" applyBorder="1" applyProtection="1"/>
    <xf numFmtId="10" fontId="0" fillId="0" borderId="5" xfId="1" applyNumberFormat="1" applyFont="1" applyBorder="1" applyProtection="1"/>
    <xf numFmtId="0" fontId="0" fillId="0" borderId="6" xfId="0" applyBorder="1" applyProtection="1"/>
    <xf numFmtId="0" fontId="0" fillId="0" borderId="7" xfId="0" applyBorder="1" applyAlignment="1" applyProtection="1">
      <alignment horizontal="right"/>
    </xf>
    <xf numFmtId="0" fontId="2" fillId="0" borderId="0" xfId="0" applyFont="1" applyBorder="1" applyProtection="1"/>
    <xf numFmtId="0" fontId="4" fillId="0" borderId="0" xfId="2" applyBorder="1" applyProtection="1"/>
    <xf numFmtId="9" fontId="0" fillId="0" borderId="0" xfId="0" applyNumberFormat="1" applyBorder="1" applyProtection="1"/>
    <xf numFmtId="9" fontId="7" fillId="3" borderId="16" xfId="3" applyNumberFormat="1" applyFont="1" applyProtection="1">
      <protection locked="0"/>
    </xf>
    <xf numFmtId="11" fontId="7" fillId="3" borderId="16" xfId="3" applyNumberFormat="1" applyFont="1" applyProtection="1">
      <protection locked="0"/>
    </xf>
    <xf numFmtId="0" fontId="7" fillId="3" borderId="16" xfId="3" applyFont="1" applyProtection="1">
      <protection locked="0"/>
    </xf>
    <xf numFmtId="0" fontId="7" fillId="3" borderId="16" xfId="3" applyNumberFormat="1" applyFont="1" applyProtection="1">
      <protection locked="0"/>
    </xf>
    <xf numFmtId="1" fontId="7" fillId="3" borderId="16" xfId="3" applyNumberFormat="1" applyFont="1" applyProtection="1">
      <protection locked="0"/>
    </xf>
    <xf numFmtId="0" fontId="9" fillId="0" borderId="0" xfId="4" applyFont="1"/>
    <xf numFmtId="0" fontId="10" fillId="0" borderId="0" xfId="4" applyFont="1"/>
    <xf numFmtId="0" fontId="4" fillId="0" borderId="0" xfId="2"/>
    <xf numFmtId="0" fontId="0" fillId="0" borderId="9" xfId="0" applyBorder="1" applyProtection="1"/>
    <xf numFmtId="1" fontId="0" fillId="2" borderId="0" xfId="0" applyNumberFormat="1" applyFill="1" applyBorder="1" applyAlignment="1" applyProtection="1">
      <alignment horizontal="left"/>
    </xf>
    <xf numFmtId="0" fontId="4" fillId="2" borderId="4" xfId="2" applyFill="1" applyBorder="1" applyProtection="1"/>
    <xf numFmtId="0" fontId="4" fillId="0" borderId="6" xfId="2" applyBorder="1" applyProtection="1"/>
    <xf numFmtId="0" fontId="2" fillId="0" borderId="13" xfId="0" applyFont="1" applyBorder="1" applyProtection="1"/>
    <xf numFmtId="0" fontId="4" fillId="0" borderId="15" xfId="2" applyBorder="1" applyProtection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2" xfId="0" applyFont="1" applyBorder="1" applyAlignment="1" applyProtection="1">
      <alignment horizontal="left" vertical="top" wrapText="1"/>
    </xf>
    <xf numFmtId="0" fontId="0" fillId="0" borderId="8" xfId="0" applyBorder="1" applyProtection="1"/>
    <xf numFmtId="0" fontId="2" fillId="0" borderId="8" xfId="0" applyFont="1" applyBorder="1" applyAlignment="1" applyProtection="1">
      <alignment horizontal="right" vertical="top"/>
    </xf>
    <xf numFmtId="0" fontId="2" fillId="0" borderId="3" xfId="0" applyFont="1" applyBorder="1" applyAlignment="1" applyProtection="1">
      <alignment horizontal="right" vertical="top"/>
    </xf>
    <xf numFmtId="9" fontId="0" fillId="0" borderId="9" xfId="1" applyFont="1" applyBorder="1" applyProtection="1"/>
    <xf numFmtId="9" fontId="0" fillId="0" borderId="7" xfId="1" applyFont="1" applyBorder="1" applyProtection="1"/>
    <xf numFmtId="0" fontId="5" fillId="3" borderId="17" xfId="3" applyBorder="1" applyProtection="1">
      <protection locked="0"/>
    </xf>
    <xf numFmtId="0" fontId="11" fillId="0" borderId="0" xfId="2" applyFont="1" applyBorder="1" applyProtection="1"/>
  </cellXfs>
  <cellStyles count="5">
    <cellStyle name="Hyperlink" xfId="2" builtinId="8"/>
    <cellStyle name="Input" xfId="3" builtinId="20"/>
    <cellStyle name="Normal" xfId="0" builtinId="0"/>
    <cellStyle name="Normal 2" xfId="4"/>
    <cellStyle name="Percent" xfId="1" builtinId="5"/>
  </cellStyles>
  <dxfs count="14">
    <dxf>
      <font>
        <color rgb="FFFF000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rgb="FFFF0000"/>
      </font>
    </dxf>
    <dxf>
      <font>
        <color rgb="FF00B050"/>
      </font>
    </dxf>
    <dxf>
      <font>
        <strike val="0"/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rgb="FFFF0000"/>
      </font>
    </dxf>
    <dxf>
      <font>
        <color rgb="FF00B050"/>
      </font>
    </dxf>
    <dxf>
      <font>
        <color rgb="FFC00000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600896860986703"/>
          <c:y val="6.1694468286250949E-2"/>
          <c:w val="0.44921750934589333"/>
          <c:h val="0.8607091838638654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Model!$M$2</c:f>
              <c:strCache>
                <c:ptCount val="1"/>
                <c:pt idx="0">
                  <c:v>Centreline KM / Capital Value</c:v>
                </c:pt>
              </c:strCache>
            </c:strRef>
          </c:tx>
          <c:invertIfNegative val="0"/>
          <c:cat>
            <c:strRef>
              <c:f>Model!$D$3:$D$80</c:f>
              <c:strCache>
                <c:ptCount val="78"/>
                <c:pt idx="0">
                  <c:v>Chatham Islands Territory</c:v>
                </c:pt>
                <c:pt idx="1">
                  <c:v>Wairoa District</c:v>
                </c:pt>
                <c:pt idx="2">
                  <c:v>Opotiki District</c:v>
                </c:pt>
                <c:pt idx="3">
                  <c:v>Kawerau District</c:v>
                </c:pt>
                <c:pt idx="4">
                  <c:v>Ruapehu District</c:v>
                </c:pt>
                <c:pt idx="5">
                  <c:v>Waitomo District</c:v>
                </c:pt>
                <c:pt idx="6">
                  <c:v>Gisborne District</c:v>
                </c:pt>
                <c:pt idx="7">
                  <c:v>Far North District</c:v>
                </c:pt>
                <c:pt idx="8">
                  <c:v>Tararua District</c:v>
                </c:pt>
                <c:pt idx="9">
                  <c:v>Gisborne District</c:v>
                </c:pt>
                <c:pt idx="10">
                  <c:v>Buller District</c:v>
                </c:pt>
                <c:pt idx="11">
                  <c:v>Rangitikei District</c:v>
                </c:pt>
                <c:pt idx="12">
                  <c:v>South Waikato District</c:v>
                </c:pt>
                <c:pt idx="13">
                  <c:v>Kaipara District</c:v>
                </c:pt>
                <c:pt idx="14">
                  <c:v>Wanganui District</c:v>
                </c:pt>
                <c:pt idx="15">
                  <c:v>Hauraki District</c:v>
                </c:pt>
                <c:pt idx="16">
                  <c:v>Waimate District</c:v>
                </c:pt>
                <c:pt idx="17">
                  <c:v>Central Hawke's Bay District</c:v>
                </c:pt>
                <c:pt idx="18">
                  <c:v>Horowhenua District</c:v>
                </c:pt>
                <c:pt idx="19">
                  <c:v>Clutha District</c:v>
                </c:pt>
                <c:pt idx="20">
                  <c:v>South Taranaki District</c:v>
                </c:pt>
                <c:pt idx="21">
                  <c:v>West Coast Regional</c:v>
                </c:pt>
                <c:pt idx="22">
                  <c:v>Otorohanga District</c:v>
                </c:pt>
                <c:pt idx="23">
                  <c:v>Westland District</c:v>
                </c:pt>
                <c:pt idx="24">
                  <c:v>Grey District</c:v>
                </c:pt>
                <c:pt idx="25">
                  <c:v>Masterton District</c:v>
                </c:pt>
                <c:pt idx="26">
                  <c:v>Stratford District</c:v>
                </c:pt>
                <c:pt idx="27">
                  <c:v>Porirua City</c:v>
                </c:pt>
                <c:pt idx="28">
                  <c:v>Rotorua District</c:v>
                </c:pt>
                <c:pt idx="29">
                  <c:v>Waitaki District</c:v>
                </c:pt>
                <c:pt idx="30">
                  <c:v>Gore District</c:v>
                </c:pt>
                <c:pt idx="31">
                  <c:v>Hastings District</c:v>
                </c:pt>
                <c:pt idx="32">
                  <c:v>Northland Regional</c:v>
                </c:pt>
                <c:pt idx="33">
                  <c:v>Whangarei District</c:v>
                </c:pt>
                <c:pt idx="34">
                  <c:v>Manawatu District</c:v>
                </c:pt>
                <c:pt idx="35">
                  <c:v>Carterton District</c:v>
                </c:pt>
                <c:pt idx="36">
                  <c:v>South Wairarapa District</c:v>
                </c:pt>
                <c:pt idx="37">
                  <c:v>Waikato District</c:v>
                </c:pt>
                <c:pt idx="38">
                  <c:v>Kaikoura District</c:v>
                </c:pt>
                <c:pt idx="39">
                  <c:v>Napier City</c:v>
                </c:pt>
                <c:pt idx="40">
                  <c:v>Thames-Coromandel District</c:v>
                </c:pt>
                <c:pt idx="41">
                  <c:v>Mackenzie District</c:v>
                </c:pt>
                <c:pt idx="42">
                  <c:v>Taupo District</c:v>
                </c:pt>
                <c:pt idx="43">
                  <c:v>Manawatu-Wanganui Regional</c:v>
                </c:pt>
                <c:pt idx="44">
                  <c:v>Invercargill City</c:v>
                </c:pt>
                <c:pt idx="45">
                  <c:v>Hawkes Bay Regional</c:v>
                </c:pt>
                <c:pt idx="46">
                  <c:v>Hurunui District</c:v>
                </c:pt>
                <c:pt idx="47">
                  <c:v>Matamata-Piako District</c:v>
                </c:pt>
                <c:pt idx="48">
                  <c:v>Central Otago District</c:v>
                </c:pt>
                <c:pt idx="49">
                  <c:v>Timaru District</c:v>
                </c:pt>
                <c:pt idx="50">
                  <c:v>Taranaki Regional</c:v>
                </c:pt>
                <c:pt idx="51">
                  <c:v>Southland Regional</c:v>
                </c:pt>
                <c:pt idx="52">
                  <c:v>New Plymouth District</c:v>
                </c:pt>
                <c:pt idx="53">
                  <c:v>Lower Hutt City</c:v>
                </c:pt>
                <c:pt idx="54">
                  <c:v>Palmerston North City</c:v>
                </c:pt>
                <c:pt idx="55">
                  <c:v>Western Bay of Plenty District</c:v>
                </c:pt>
                <c:pt idx="56">
                  <c:v>Southland District</c:v>
                </c:pt>
                <c:pt idx="57">
                  <c:v>Hamilton City</c:v>
                </c:pt>
                <c:pt idx="58">
                  <c:v>Ashburton District</c:v>
                </c:pt>
                <c:pt idx="59">
                  <c:v>Nelson City</c:v>
                </c:pt>
                <c:pt idx="60">
                  <c:v>Tasman District</c:v>
                </c:pt>
                <c:pt idx="61">
                  <c:v>Dunedin City</c:v>
                </c:pt>
                <c:pt idx="62">
                  <c:v>Upper Hutt City</c:v>
                </c:pt>
                <c:pt idx="63">
                  <c:v>Bay of Plenty Regional</c:v>
                </c:pt>
                <c:pt idx="64">
                  <c:v>Marlborough District</c:v>
                </c:pt>
                <c:pt idx="65">
                  <c:v>Waipa District</c:v>
                </c:pt>
                <c:pt idx="66">
                  <c:v>Tauranga City</c:v>
                </c:pt>
                <c:pt idx="67">
                  <c:v>Waimakariri District</c:v>
                </c:pt>
                <c:pt idx="68">
                  <c:v>Otago Regional</c:v>
                </c:pt>
                <c:pt idx="69">
                  <c:v>Kapiti Coast District</c:v>
                </c:pt>
                <c:pt idx="70">
                  <c:v>Selwyn District</c:v>
                </c:pt>
                <c:pt idx="71">
                  <c:v>Queenstown-Lakes District</c:v>
                </c:pt>
                <c:pt idx="72">
                  <c:v>Wellington City</c:v>
                </c:pt>
                <c:pt idx="73">
                  <c:v>Waikato Regional</c:v>
                </c:pt>
                <c:pt idx="74">
                  <c:v>Christchurch City</c:v>
                </c:pt>
                <c:pt idx="75">
                  <c:v>Wellington Regional</c:v>
                </c:pt>
                <c:pt idx="76">
                  <c:v>Canterbury Regional</c:v>
                </c:pt>
                <c:pt idx="77">
                  <c:v>Auckland</c:v>
                </c:pt>
              </c:strCache>
            </c:strRef>
          </c:cat>
          <c:val>
            <c:numRef>
              <c:f>Model!$M$3:$M$80</c:f>
              <c:numCache>
                <c:formatCode>General</c:formatCode>
                <c:ptCount val="78"/>
                <c:pt idx="0">
                  <c:v>7.9443046448994865</c:v>
                </c:pt>
                <c:pt idx="1">
                  <c:v>2.8406797949693363</c:v>
                </c:pt>
                <c:pt idx="2">
                  <c:v>1.046407672832933</c:v>
                </c:pt>
                <c:pt idx="3">
                  <c:v>0.38195091414475424</c:v>
                </c:pt>
                <c:pt idx="4">
                  <c:v>1.9170009524282878</c:v>
                </c:pt>
                <c:pt idx="5">
                  <c:v>1.9617976844989065</c:v>
                </c:pt>
                <c:pt idx="6">
                  <c:v>1.0264841009253938</c:v>
                </c:pt>
                <c:pt idx="7">
                  <c:v>1.0098760141242764</c:v>
                </c:pt>
                <c:pt idx="8">
                  <c:v>2.1520384260031484</c:v>
                </c:pt>
                <c:pt idx="9">
                  <c:v>0.63849915956832748</c:v>
                </c:pt>
                <c:pt idx="10">
                  <c:v>1.2905594453866813</c:v>
                </c:pt>
                <c:pt idx="11">
                  <c:v>1.8219009156649286</c:v>
                </c:pt>
                <c:pt idx="12">
                  <c:v>0.54668727844218667</c:v>
                </c:pt>
                <c:pt idx="13">
                  <c:v>1.3162494451440252</c:v>
                </c:pt>
                <c:pt idx="14">
                  <c:v>0.71945159372649825</c:v>
                </c:pt>
                <c:pt idx="15">
                  <c:v>0.61068865252348881</c:v>
                </c:pt>
                <c:pt idx="16">
                  <c:v>1.7761076892718402</c:v>
                </c:pt>
                <c:pt idx="17">
                  <c:v>1.6676188850274167</c:v>
                </c:pt>
                <c:pt idx="18">
                  <c:v>0.51646527892881755</c:v>
                </c:pt>
                <c:pt idx="19">
                  <c:v>2.2044607891506214</c:v>
                </c:pt>
                <c:pt idx="20">
                  <c:v>0.98826219260847281</c:v>
                </c:pt>
                <c:pt idx="21">
                  <c:v>1.3225966723641296</c:v>
                </c:pt>
                <c:pt idx="22">
                  <c:v>1.1109028936429572</c:v>
                </c:pt>
                <c:pt idx="23">
                  <c:v>1.4886808544499446</c:v>
                </c:pt>
                <c:pt idx="24">
                  <c:v>1.2024131477817708</c:v>
                </c:pt>
                <c:pt idx="25">
                  <c:v>0.89479373368938719</c:v>
                </c:pt>
                <c:pt idx="26">
                  <c:v>1.1322630127121986</c:v>
                </c:pt>
                <c:pt idx="27">
                  <c:v>9.2986151117384841E-2</c:v>
                </c:pt>
                <c:pt idx="28">
                  <c:v>0.38051176082911609</c:v>
                </c:pt>
                <c:pt idx="29">
                  <c:v>1.3334174207333598</c:v>
                </c:pt>
                <c:pt idx="30">
                  <c:v>1.3823088516251518</c:v>
                </c:pt>
                <c:pt idx="31">
                  <c:v>0.50272516996510053</c:v>
                </c:pt>
                <c:pt idx="32">
                  <c:v>0.79825387419132199</c:v>
                </c:pt>
                <c:pt idx="33">
                  <c:v>0.46819901784259266</c:v>
                </c:pt>
                <c:pt idx="34">
                  <c:v>1.0034708443626199</c:v>
                </c:pt>
                <c:pt idx="35">
                  <c:v>1.1315797332814279</c:v>
                </c:pt>
                <c:pt idx="36">
                  <c:v>1.0394275459684947</c:v>
                </c:pt>
                <c:pt idx="37">
                  <c:v>0.61084572803506254</c:v>
                </c:pt>
                <c:pt idx="38">
                  <c:v>0.7093537381272601</c:v>
                </c:pt>
                <c:pt idx="39">
                  <c:v>0.12233286615239936</c:v>
                </c:pt>
                <c:pt idx="40">
                  <c:v>0.18496121580897373</c:v>
                </c:pt>
                <c:pt idx="41">
                  <c:v>1.1779928414511454</c:v>
                </c:pt>
                <c:pt idx="42">
                  <c:v>0.22379277765262606</c:v>
                </c:pt>
                <c:pt idx="43">
                  <c:v>1.0208112689062556</c:v>
                </c:pt>
                <c:pt idx="44">
                  <c:v>0.3868615950663663</c:v>
                </c:pt>
                <c:pt idx="45">
                  <c:v>0.58344305322724566</c:v>
                </c:pt>
                <c:pt idx="46">
                  <c:v>1.2414496208869314</c:v>
                </c:pt>
                <c:pt idx="47">
                  <c:v>0.44219022543703962</c:v>
                </c:pt>
                <c:pt idx="48">
                  <c:v>1.3613676543556408</c:v>
                </c:pt>
                <c:pt idx="49">
                  <c:v>0.79026289596957822</c:v>
                </c:pt>
                <c:pt idx="50">
                  <c:v>0.60861771014302346</c:v>
                </c:pt>
                <c:pt idx="51">
                  <c:v>1.0812341527873388</c:v>
                </c:pt>
                <c:pt idx="52">
                  <c:v>0.33746208780741016</c:v>
                </c:pt>
                <c:pt idx="53">
                  <c:v>7.5564416553787428E-2</c:v>
                </c:pt>
                <c:pt idx="54">
                  <c:v>0.1735303843751409</c:v>
                </c:pt>
                <c:pt idx="55">
                  <c:v>0.34218968518016524</c:v>
                </c:pt>
                <c:pt idx="56">
                  <c:v>1.274990144471069</c:v>
                </c:pt>
                <c:pt idx="57">
                  <c:v>5.9137273366078102E-2</c:v>
                </c:pt>
                <c:pt idx="58">
                  <c:v>0.84122630214112615</c:v>
                </c:pt>
                <c:pt idx="59">
                  <c:v>6.4005156109983141E-2</c:v>
                </c:pt>
                <c:pt idx="60">
                  <c:v>0.65239952262082568</c:v>
                </c:pt>
                <c:pt idx="61">
                  <c:v>0.40598036472659449</c:v>
                </c:pt>
                <c:pt idx="62">
                  <c:v>0.1161942312420039</c:v>
                </c:pt>
                <c:pt idx="63">
                  <c:v>0.33170051779147525</c:v>
                </c:pt>
                <c:pt idx="64">
                  <c:v>0.50236925655952769</c:v>
                </c:pt>
                <c:pt idx="65">
                  <c:v>0.36963180397613116</c:v>
                </c:pt>
                <c:pt idx="66">
                  <c:v>2.4706664224376618E-2</c:v>
                </c:pt>
                <c:pt idx="67">
                  <c:v>0.55470815564908282</c:v>
                </c:pt>
                <c:pt idx="68">
                  <c:v>0.88430220025086137</c:v>
                </c:pt>
                <c:pt idx="69">
                  <c:v>0.12874537733892732</c:v>
                </c:pt>
                <c:pt idx="70">
                  <c:v>0.70725864083169931</c:v>
                </c:pt>
                <c:pt idx="71">
                  <c:v>0.17073921319406082</c:v>
                </c:pt>
                <c:pt idx="72">
                  <c:v>0</c:v>
                </c:pt>
                <c:pt idx="73">
                  <c:v>0.34332993944853296</c:v>
                </c:pt>
                <c:pt idx="74">
                  <c:v>6.4755216464622123E-2</c:v>
                </c:pt>
                <c:pt idx="75">
                  <c:v>0.13624567471946403</c:v>
                </c:pt>
                <c:pt idx="76">
                  <c:v>0.38976106035007313</c:v>
                </c:pt>
                <c:pt idx="77">
                  <c:v>1.1662460079320147E-2</c:v>
                </c:pt>
              </c:numCache>
            </c:numRef>
          </c:val>
        </c:ser>
        <c:ser>
          <c:idx val="2"/>
          <c:order val="1"/>
          <c:tx>
            <c:strRef>
              <c:f>Model!$K$2</c:f>
              <c:strCache>
                <c:ptCount val="1"/>
                <c:pt idx="0">
                  <c:v>Rateable Units</c:v>
                </c:pt>
              </c:strCache>
            </c:strRef>
          </c:tx>
          <c:invertIfNegative val="0"/>
          <c:cat>
            <c:strRef>
              <c:f>Model!$D$3:$D$80</c:f>
              <c:strCache>
                <c:ptCount val="78"/>
                <c:pt idx="0">
                  <c:v>Chatham Islands Territory</c:v>
                </c:pt>
                <c:pt idx="1">
                  <c:v>Wairoa District</c:v>
                </c:pt>
                <c:pt idx="2">
                  <c:v>Opotiki District</c:v>
                </c:pt>
                <c:pt idx="3">
                  <c:v>Kawerau District</c:v>
                </c:pt>
                <c:pt idx="4">
                  <c:v>Ruapehu District</c:v>
                </c:pt>
                <c:pt idx="5">
                  <c:v>Waitomo District</c:v>
                </c:pt>
                <c:pt idx="6">
                  <c:v>Gisborne District</c:v>
                </c:pt>
                <c:pt idx="7">
                  <c:v>Far North District</c:v>
                </c:pt>
                <c:pt idx="8">
                  <c:v>Tararua District</c:v>
                </c:pt>
                <c:pt idx="9">
                  <c:v>Gisborne District</c:v>
                </c:pt>
                <c:pt idx="10">
                  <c:v>Buller District</c:v>
                </c:pt>
                <c:pt idx="11">
                  <c:v>Rangitikei District</c:v>
                </c:pt>
                <c:pt idx="12">
                  <c:v>South Waikato District</c:v>
                </c:pt>
                <c:pt idx="13">
                  <c:v>Kaipara District</c:v>
                </c:pt>
                <c:pt idx="14">
                  <c:v>Wanganui District</c:v>
                </c:pt>
                <c:pt idx="15">
                  <c:v>Hauraki District</c:v>
                </c:pt>
                <c:pt idx="16">
                  <c:v>Waimate District</c:v>
                </c:pt>
                <c:pt idx="17">
                  <c:v>Central Hawke's Bay District</c:v>
                </c:pt>
                <c:pt idx="18">
                  <c:v>Horowhenua District</c:v>
                </c:pt>
                <c:pt idx="19">
                  <c:v>Clutha District</c:v>
                </c:pt>
                <c:pt idx="20">
                  <c:v>South Taranaki District</c:v>
                </c:pt>
                <c:pt idx="21">
                  <c:v>West Coast Regional</c:v>
                </c:pt>
                <c:pt idx="22">
                  <c:v>Otorohanga District</c:v>
                </c:pt>
                <c:pt idx="23">
                  <c:v>Westland District</c:v>
                </c:pt>
                <c:pt idx="24">
                  <c:v>Grey District</c:v>
                </c:pt>
                <c:pt idx="25">
                  <c:v>Masterton District</c:v>
                </c:pt>
                <c:pt idx="26">
                  <c:v>Stratford District</c:v>
                </c:pt>
                <c:pt idx="27">
                  <c:v>Porirua City</c:v>
                </c:pt>
                <c:pt idx="28">
                  <c:v>Rotorua District</c:v>
                </c:pt>
                <c:pt idx="29">
                  <c:v>Waitaki District</c:v>
                </c:pt>
                <c:pt idx="30">
                  <c:v>Gore District</c:v>
                </c:pt>
                <c:pt idx="31">
                  <c:v>Hastings District</c:v>
                </c:pt>
                <c:pt idx="32">
                  <c:v>Northland Regional</c:v>
                </c:pt>
                <c:pt idx="33">
                  <c:v>Whangarei District</c:v>
                </c:pt>
                <c:pt idx="34">
                  <c:v>Manawatu District</c:v>
                </c:pt>
                <c:pt idx="35">
                  <c:v>Carterton District</c:v>
                </c:pt>
                <c:pt idx="36">
                  <c:v>South Wairarapa District</c:v>
                </c:pt>
                <c:pt idx="37">
                  <c:v>Waikato District</c:v>
                </c:pt>
                <c:pt idx="38">
                  <c:v>Kaikoura District</c:v>
                </c:pt>
                <c:pt idx="39">
                  <c:v>Napier City</c:v>
                </c:pt>
                <c:pt idx="40">
                  <c:v>Thames-Coromandel District</c:v>
                </c:pt>
                <c:pt idx="41">
                  <c:v>Mackenzie District</c:v>
                </c:pt>
                <c:pt idx="42">
                  <c:v>Taupo District</c:v>
                </c:pt>
                <c:pt idx="43">
                  <c:v>Manawatu-Wanganui Regional</c:v>
                </c:pt>
                <c:pt idx="44">
                  <c:v>Invercargill City</c:v>
                </c:pt>
                <c:pt idx="45">
                  <c:v>Hawkes Bay Regional</c:v>
                </c:pt>
                <c:pt idx="46">
                  <c:v>Hurunui District</c:v>
                </c:pt>
                <c:pt idx="47">
                  <c:v>Matamata-Piako District</c:v>
                </c:pt>
                <c:pt idx="48">
                  <c:v>Central Otago District</c:v>
                </c:pt>
                <c:pt idx="49">
                  <c:v>Timaru District</c:v>
                </c:pt>
                <c:pt idx="50">
                  <c:v>Taranaki Regional</c:v>
                </c:pt>
                <c:pt idx="51">
                  <c:v>Southland Regional</c:v>
                </c:pt>
                <c:pt idx="52">
                  <c:v>New Plymouth District</c:v>
                </c:pt>
                <c:pt idx="53">
                  <c:v>Lower Hutt City</c:v>
                </c:pt>
                <c:pt idx="54">
                  <c:v>Palmerston North City</c:v>
                </c:pt>
                <c:pt idx="55">
                  <c:v>Western Bay of Plenty District</c:v>
                </c:pt>
                <c:pt idx="56">
                  <c:v>Southland District</c:v>
                </c:pt>
                <c:pt idx="57">
                  <c:v>Hamilton City</c:v>
                </c:pt>
                <c:pt idx="58">
                  <c:v>Ashburton District</c:v>
                </c:pt>
                <c:pt idx="59">
                  <c:v>Nelson City</c:v>
                </c:pt>
                <c:pt idx="60">
                  <c:v>Tasman District</c:v>
                </c:pt>
                <c:pt idx="61">
                  <c:v>Dunedin City</c:v>
                </c:pt>
                <c:pt idx="62">
                  <c:v>Upper Hutt City</c:v>
                </c:pt>
                <c:pt idx="63">
                  <c:v>Bay of Plenty Regional</c:v>
                </c:pt>
                <c:pt idx="64">
                  <c:v>Marlborough District</c:v>
                </c:pt>
                <c:pt idx="65">
                  <c:v>Waipa District</c:v>
                </c:pt>
                <c:pt idx="66">
                  <c:v>Tauranga City</c:v>
                </c:pt>
                <c:pt idx="67">
                  <c:v>Waimakariri District</c:v>
                </c:pt>
                <c:pt idx="68">
                  <c:v>Otago Regional</c:v>
                </c:pt>
                <c:pt idx="69">
                  <c:v>Kapiti Coast District</c:v>
                </c:pt>
                <c:pt idx="70">
                  <c:v>Selwyn District</c:v>
                </c:pt>
                <c:pt idx="71">
                  <c:v>Queenstown-Lakes District</c:v>
                </c:pt>
                <c:pt idx="72">
                  <c:v>Wellington City</c:v>
                </c:pt>
                <c:pt idx="73">
                  <c:v>Waikato Regional</c:v>
                </c:pt>
                <c:pt idx="74">
                  <c:v>Christchurch City</c:v>
                </c:pt>
                <c:pt idx="75">
                  <c:v>Wellington Regional</c:v>
                </c:pt>
                <c:pt idx="76">
                  <c:v>Canterbury Regional</c:v>
                </c:pt>
                <c:pt idx="77">
                  <c:v>Auckland</c:v>
                </c:pt>
              </c:strCache>
            </c:strRef>
          </c:cat>
          <c:val>
            <c:numRef>
              <c:f>Model!$K$3:$K$80</c:f>
              <c:numCache>
                <c:formatCode>General</c:formatCode>
                <c:ptCount val="78"/>
                <c:pt idx="0">
                  <c:v>7.0710322725480088</c:v>
                </c:pt>
                <c:pt idx="1">
                  <c:v>6.9878481066502252</c:v>
                </c:pt>
                <c:pt idx="2">
                  <c:v>7.0030424866851346</c:v>
                </c:pt>
                <c:pt idx="3">
                  <c:v>7.0394549743065706</c:v>
                </c:pt>
                <c:pt idx="4">
                  <c:v>6.9574998649271667</c:v>
                </c:pt>
                <c:pt idx="5">
                  <c:v>7.0002062024119516</c:v>
                </c:pt>
                <c:pt idx="6">
                  <c:v>6.7579875254821182</c:v>
                </c:pt>
                <c:pt idx="7">
                  <c:v>6.5875808651261618</c:v>
                </c:pt>
                <c:pt idx="8">
                  <c:v>6.9336210525700821</c:v>
                </c:pt>
                <c:pt idx="9">
                  <c:v>6.8650910220837451</c:v>
                </c:pt>
                <c:pt idx="10">
                  <c:v>6.9791231559812905</c:v>
                </c:pt>
                <c:pt idx="11">
                  <c:v>6.9638072209061024</c:v>
                </c:pt>
                <c:pt idx="12">
                  <c:v>6.9417652402687935</c:v>
                </c:pt>
                <c:pt idx="13">
                  <c:v>6.8875246800730645</c:v>
                </c:pt>
                <c:pt idx="14">
                  <c:v>6.7961287958986372</c:v>
                </c:pt>
                <c:pt idx="15">
                  <c:v>6.9296772668187998</c:v>
                </c:pt>
                <c:pt idx="16">
                  <c:v>7.0184124462226691</c:v>
                </c:pt>
                <c:pt idx="17">
                  <c:v>6.975111839652075</c:v>
                </c:pt>
                <c:pt idx="18">
                  <c:v>6.8407665079123037</c:v>
                </c:pt>
                <c:pt idx="19">
                  <c:v>6.9164682857751183</c:v>
                </c:pt>
                <c:pt idx="20">
                  <c:v>6.8774896361922311</c:v>
                </c:pt>
                <c:pt idx="21">
                  <c:v>6.7759101408655171</c:v>
                </c:pt>
                <c:pt idx="22">
                  <c:v>7.0081883167236239</c:v>
                </c:pt>
                <c:pt idx="23">
                  <c:v>6.9908329581948605</c:v>
                </c:pt>
                <c:pt idx="24">
                  <c:v>6.9631184090111864</c:v>
                </c:pt>
                <c:pt idx="25">
                  <c:v>6.9134429158837225</c:v>
                </c:pt>
                <c:pt idx="26">
                  <c:v>7.0116728945449633</c:v>
                </c:pt>
                <c:pt idx="27">
                  <c:v>6.8334867116111333</c:v>
                </c:pt>
                <c:pt idx="28">
                  <c:v>6.6819210824984649</c:v>
                </c:pt>
                <c:pt idx="29">
                  <c:v>6.8868223620625617</c:v>
                </c:pt>
                <c:pt idx="30">
                  <c:v>6.9848092306432434</c:v>
                </c:pt>
                <c:pt idx="31">
                  <c:v>6.6643901444670766</c:v>
                </c:pt>
                <c:pt idx="32">
                  <c:v>5.8526050671353236</c:v>
                </c:pt>
                <c:pt idx="33">
                  <c:v>6.5346639042579175</c:v>
                </c:pt>
                <c:pt idx="34">
                  <c:v>6.8912523679749622</c:v>
                </c:pt>
                <c:pt idx="35">
                  <c:v>7.0172644263978095</c:v>
                </c:pt>
                <c:pt idx="36">
                  <c:v>6.990103627953185</c:v>
                </c:pt>
                <c:pt idx="37">
                  <c:v>6.6746682984284682</c:v>
                </c:pt>
                <c:pt idx="38">
                  <c:v>7.0381989055570182</c:v>
                </c:pt>
                <c:pt idx="39">
                  <c:v>6.7411589054612318</c:v>
                </c:pt>
                <c:pt idx="40">
                  <c:v>6.7141601804036464</c:v>
                </c:pt>
                <c:pt idx="41">
                  <c:v>7.0193848865449038</c:v>
                </c:pt>
                <c:pt idx="42">
                  <c:v>6.7727091914714963</c:v>
                </c:pt>
                <c:pt idx="43">
                  <c:v>5.6740001946183103</c:v>
                </c:pt>
                <c:pt idx="44">
                  <c:v>6.7379444499516241</c:v>
                </c:pt>
                <c:pt idx="45">
                  <c:v>6.0179874524930694</c:v>
                </c:pt>
                <c:pt idx="46">
                  <c:v>6.9704927481214627</c:v>
                </c:pt>
                <c:pt idx="47">
                  <c:v>6.8835133637438481</c:v>
                </c:pt>
                <c:pt idx="48">
                  <c:v>6.8968844181745688</c:v>
                </c:pt>
                <c:pt idx="49">
                  <c:v>6.7846215854188658</c:v>
                </c:pt>
                <c:pt idx="50">
                  <c:v>6.338609130403035</c:v>
                </c:pt>
                <c:pt idx="51">
                  <c:v>6.3632037668862083</c:v>
                </c:pt>
                <c:pt idx="52">
                  <c:v>6.6066109819876617</c:v>
                </c:pt>
                <c:pt idx="53">
                  <c:v>6.5466573348988062</c:v>
                </c:pt>
                <c:pt idx="54">
                  <c:v>6.6476425611397101</c:v>
                </c:pt>
                <c:pt idx="55">
                  <c:v>6.7734655339443455</c:v>
                </c:pt>
                <c:pt idx="56">
                  <c:v>6.797614468613161</c:v>
                </c:pt>
                <c:pt idx="57">
                  <c:v>6.3263590835660013</c:v>
                </c:pt>
                <c:pt idx="58">
                  <c:v>6.8702908765845807</c:v>
                </c:pt>
                <c:pt idx="59">
                  <c:v>6.7915772349459571</c:v>
                </c:pt>
                <c:pt idx="60">
                  <c:v>6.7663343049146283</c:v>
                </c:pt>
                <c:pt idx="61">
                  <c:v>6.3544382978705141</c:v>
                </c:pt>
                <c:pt idx="62">
                  <c:v>6.8563930836459832</c:v>
                </c:pt>
                <c:pt idx="63">
                  <c:v>5.7385999454689509</c:v>
                </c:pt>
                <c:pt idx="64">
                  <c:v>6.7285171812721867</c:v>
                </c:pt>
                <c:pt idx="65">
                  <c:v>6.8000185571875731</c:v>
                </c:pt>
                <c:pt idx="66">
                  <c:v>6.3718746930927965</c:v>
                </c:pt>
                <c:pt idx="67">
                  <c:v>6.7575418236677605</c:v>
                </c:pt>
                <c:pt idx="68">
                  <c:v>5.7083192343238247</c:v>
                </c:pt>
                <c:pt idx="69">
                  <c:v>6.7496137338184345</c:v>
                </c:pt>
                <c:pt idx="70">
                  <c:v>6.7886058895169086</c:v>
                </c:pt>
                <c:pt idx="71">
                  <c:v>6.7762748059863549</c:v>
                </c:pt>
                <c:pt idx="72">
                  <c:v>6.049875391392999</c:v>
                </c:pt>
                <c:pt idx="73">
                  <c:v>3.9473648719135657</c:v>
                </c:pt>
                <c:pt idx="74">
                  <c:v>4.8465615293217033</c:v>
                </c:pt>
                <c:pt idx="75">
                  <c:v>4.4067618874757031</c:v>
                </c:pt>
                <c:pt idx="76">
                  <c:v>3.2736933325702413</c:v>
                </c:pt>
                <c:pt idx="77">
                  <c:v>0</c:v>
                </c:pt>
              </c:numCache>
            </c:numRef>
          </c:val>
        </c:ser>
        <c:ser>
          <c:idx val="5"/>
          <c:order val="2"/>
          <c:tx>
            <c:strRef>
              <c:f>Model!$L$2</c:f>
              <c:strCache>
                <c:ptCount val="1"/>
                <c:pt idx="0">
                  <c:v>NZ Dep</c:v>
                </c:pt>
              </c:strCache>
            </c:strRef>
          </c:tx>
          <c:invertIfNegative val="0"/>
          <c:cat>
            <c:strRef>
              <c:f>Model!$D$3:$D$80</c:f>
              <c:strCache>
                <c:ptCount val="78"/>
                <c:pt idx="0">
                  <c:v>Chatham Islands Territory</c:v>
                </c:pt>
                <c:pt idx="1">
                  <c:v>Wairoa District</c:v>
                </c:pt>
                <c:pt idx="2">
                  <c:v>Opotiki District</c:v>
                </c:pt>
                <c:pt idx="3">
                  <c:v>Kawerau District</c:v>
                </c:pt>
                <c:pt idx="4">
                  <c:v>Ruapehu District</c:v>
                </c:pt>
                <c:pt idx="5">
                  <c:v>Waitomo District</c:v>
                </c:pt>
                <c:pt idx="6">
                  <c:v>Gisborne District</c:v>
                </c:pt>
                <c:pt idx="7">
                  <c:v>Far North District</c:v>
                </c:pt>
                <c:pt idx="8">
                  <c:v>Tararua District</c:v>
                </c:pt>
                <c:pt idx="9">
                  <c:v>Gisborne District</c:v>
                </c:pt>
                <c:pt idx="10">
                  <c:v>Buller District</c:v>
                </c:pt>
                <c:pt idx="11">
                  <c:v>Rangitikei District</c:v>
                </c:pt>
                <c:pt idx="12">
                  <c:v>South Waikato District</c:v>
                </c:pt>
                <c:pt idx="13">
                  <c:v>Kaipara District</c:v>
                </c:pt>
                <c:pt idx="14">
                  <c:v>Wanganui District</c:v>
                </c:pt>
                <c:pt idx="15">
                  <c:v>Hauraki District</c:v>
                </c:pt>
                <c:pt idx="16">
                  <c:v>Waimate District</c:v>
                </c:pt>
                <c:pt idx="17">
                  <c:v>Central Hawke's Bay District</c:v>
                </c:pt>
                <c:pt idx="18">
                  <c:v>Horowhenua District</c:v>
                </c:pt>
                <c:pt idx="19">
                  <c:v>Clutha District</c:v>
                </c:pt>
                <c:pt idx="20">
                  <c:v>South Taranaki District</c:v>
                </c:pt>
                <c:pt idx="21">
                  <c:v>West Coast Regional</c:v>
                </c:pt>
                <c:pt idx="22">
                  <c:v>Otorohanga District</c:v>
                </c:pt>
                <c:pt idx="23">
                  <c:v>Westland District</c:v>
                </c:pt>
                <c:pt idx="24">
                  <c:v>Grey District</c:v>
                </c:pt>
                <c:pt idx="25">
                  <c:v>Masterton District</c:v>
                </c:pt>
                <c:pt idx="26">
                  <c:v>Stratford District</c:v>
                </c:pt>
                <c:pt idx="27">
                  <c:v>Porirua City</c:v>
                </c:pt>
                <c:pt idx="28">
                  <c:v>Rotorua District</c:v>
                </c:pt>
                <c:pt idx="29">
                  <c:v>Waitaki District</c:v>
                </c:pt>
                <c:pt idx="30">
                  <c:v>Gore District</c:v>
                </c:pt>
                <c:pt idx="31">
                  <c:v>Hastings District</c:v>
                </c:pt>
                <c:pt idx="32">
                  <c:v>Northland Regional</c:v>
                </c:pt>
                <c:pt idx="33">
                  <c:v>Whangarei District</c:v>
                </c:pt>
                <c:pt idx="34">
                  <c:v>Manawatu District</c:v>
                </c:pt>
                <c:pt idx="35">
                  <c:v>Carterton District</c:v>
                </c:pt>
                <c:pt idx="36">
                  <c:v>South Wairarapa District</c:v>
                </c:pt>
                <c:pt idx="37">
                  <c:v>Waikato District</c:v>
                </c:pt>
                <c:pt idx="38">
                  <c:v>Kaikoura District</c:v>
                </c:pt>
                <c:pt idx="39">
                  <c:v>Napier City</c:v>
                </c:pt>
                <c:pt idx="40">
                  <c:v>Thames-Coromandel District</c:v>
                </c:pt>
                <c:pt idx="41">
                  <c:v>Mackenzie District</c:v>
                </c:pt>
                <c:pt idx="42">
                  <c:v>Taupo District</c:v>
                </c:pt>
                <c:pt idx="43">
                  <c:v>Manawatu-Wanganui Regional</c:v>
                </c:pt>
                <c:pt idx="44">
                  <c:v>Invercargill City</c:v>
                </c:pt>
                <c:pt idx="45">
                  <c:v>Hawkes Bay Regional</c:v>
                </c:pt>
                <c:pt idx="46">
                  <c:v>Hurunui District</c:v>
                </c:pt>
                <c:pt idx="47">
                  <c:v>Matamata-Piako District</c:v>
                </c:pt>
                <c:pt idx="48">
                  <c:v>Central Otago District</c:v>
                </c:pt>
                <c:pt idx="49">
                  <c:v>Timaru District</c:v>
                </c:pt>
                <c:pt idx="50">
                  <c:v>Taranaki Regional</c:v>
                </c:pt>
                <c:pt idx="51">
                  <c:v>Southland Regional</c:v>
                </c:pt>
                <c:pt idx="52">
                  <c:v>New Plymouth District</c:v>
                </c:pt>
                <c:pt idx="53">
                  <c:v>Lower Hutt City</c:v>
                </c:pt>
                <c:pt idx="54">
                  <c:v>Palmerston North City</c:v>
                </c:pt>
                <c:pt idx="55">
                  <c:v>Western Bay of Plenty District</c:v>
                </c:pt>
                <c:pt idx="56">
                  <c:v>Southland District</c:v>
                </c:pt>
                <c:pt idx="57">
                  <c:v>Hamilton City</c:v>
                </c:pt>
                <c:pt idx="58">
                  <c:v>Ashburton District</c:v>
                </c:pt>
                <c:pt idx="59">
                  <c:v>Nelson City</c:v>
                </c:pt>
                <c:pt idx="60">
                  <c:v>Tasman District</c:v>
                </c:pt>
                <c:pt idx="61">
                  <c:v>Dunedin City</c:v>
                </c:pt>
                <c:pt idx="62">
                  <c:v>Upper Hutt City</c:v>
                </c:pt>
                <c:pt idx="63">
                  <c:v>Bay of Plenty Regional</c:v>
                </c:pt>
                <c:pt idx="64">
                  <c:v>Marlborough District</c:v>
                </c:pt>
                <c:pt idx="65">
                  <c:v>Waipa District</c:v>
                </c:pt>
                <c:pt idx="66">
                  <c:v>Tauranga City</c:v>
                </c:pt>
                <c:pt idx="67">
                  <c:v>Waimakariri District</c:v>
                </c:pt>
                <c:pt idx="68">
                  <c:v>Otago Regional</c:v>
                </c:pt>
                <c:pt idx="69">
                  <c:v>Kapiti Coast District</c:v>
                </c:pt>
                <c:pt idx="70">
                  <c:v>Selwyn District</c:v>
                </c:pt>
                <c:pt idx="71">
                  <c:v>Queenstown-Lakes District</c:v>
                </c:pt>
                <c:pt idx="72">
                  <c:v>Wellington City</c:v>
                </c:pt>
                <c:pt idx="73">
                  <c:v>Waikato Regional</c:v>
                </c:pt>
                <c:pt idx="74">
                  <c:v>Christchurch City</c:v>
                </c:pt>
                <c:pt idx="75">
                  <c:v>Wellington Regional</c:v>
                </c:pt>
                <c:pt idx="76">
                  <c:v>Canterbury Regional</c:v>
                </c:pt>
                <c:pt idx="77">
                  <c:v>Auckland</c:v>
                </c:pt>
              </c:strCache>
            </c:strRef>
          </c:cat>
          <c:val>
            <c:numRef>
              <c:f>Model!$L$3:$L$80</c:f>
              <c:numCache>
                <c:formatCode>General</c:formatCode>
                <c:ptCount val="78"/>
                <c:pt idx="0">
                  <c:v>1.3256013130762263</c:v>
                </c:pt>
                <c:pt idx="1">
                  <c:v>4.2755811021051517</c:v>
                </c:pt>
                <c:pt idx="2">
                  <c:v>5.3870597511770937</c:v>
                </c:pt>
                <c:pt idx="3">
                  <c:v>5.4602951631888734</c:v>
                </c:pt>
                <c:pt idx="4">
                  <c:v>3.3039695432966987</c:v>
                </c:pt>
                <c:pt idx="5">
                  <c:v>3.1423954301175319</c:v>
                </c:pt>
                <c:pt idx="6">
                  <c:v>3.7542648659272251</c:v>
                </c:pt>
                <c:pt idx="7">
                  <c:v>3.7284783164092996</c:v>
                </c:pt>
                <c:pt idx="8">
                  <c:v>2.1350259239059692</c:v>
                </c:pt>
                <c:pt idx="9">
                  <c:v>3.481540429991326</c:v>
                </c:pt>
                <c:pt idx="10">
                  <c:v>2.6722100498068917</c:v>
                </c:pt>
                <c:pt idx="11">
                  <c:v>2.0412378396600852</c:v>
                </c:pt>
                <c:pt idx="12">
                  <c:v>3.3354723172135081</c:v>
                </c:pt>
                <c:pt idx="13">
                  <c:v>2.388092203695833</c:v>
                </c:pt>
                <c:pt idx="14">
                  <c:v>3.0024479232727024</c:v>
                </c:pt>
                <c:pt idx="15">
                  <c:v>2.8706737954293513</c:v>
                </c:pt>
                <c:pt idx="16">
                  <c:v>1.6143829053151926</c:v>
                </c:pt>
                <c:pt idx="17">
                  <c:v>1.7482563398859388</c:v>
                </c:pt>
                <c:pt idx="18">
                  <c:v>2.9622510581798052</c:v>
                </c:pt>
                <c:pt idx="19">
                  <c:v>1.1307418255172705</c:v>
                </c:pt>
                <c:pt idx="20">
                  <c:v>2.3192258794969867</c:v>
                </c:pt>
                <c:pt idx="21">
                  <c:v>2.0541231572458938</c:v>
                </c:pt>
                <c:pt idx="22">
                  <c:v>2.0236348011640222</c:v>
                </c:pt>
                <c:pt idx="23">
                  <c:v>1.6380852208052434</c:v>
                </c:pt>
                <c:pt idx="24">
                  <c:v>1.8581122791897382</c:v>
                </c:pt>
                <c:pt idx="25">
                  <c:v>2.2132550871240366</c:v>
                </c:pt>
                <c:pt idx="26">
                  <c:v>1.8238000763940028</c:v>
                </c:pt>
                <c:pt idx="27">
                  <c:v>2.8738673870091302</c:v>
                </c:pt>
                <c:pt idx="28">
                  <c:v>2.7257600164077602</c:v>
                </c:pt>
                <c:pt idx="29">
                  <c:v>1.4698572391500813</c:v>
                </c:pt>
                <c:pt idx="30">
                  <c:v>1.2671722898452429</c:v>
                </c:pt>
                <c:pt idx="31">
                  <c:v>2.4061742116035898</c:v>
                </c:pt>
                <c:pt idx="32">
                  <c:v>2.9147380610779354</c:v>
                </c:pt>
                <c:pt idx="33">
                  <c:v>2.4321290814027487</c:v>
                </c:pt>
                <c:pt idx="34">
                  <c:v>1.5007292263365135</c:v>
                </c:pt>
                <c:pt idx="35">
                  <c:v>1.2133472212513556</c:v>
                </c:pt>
                <c:pt idx="36">
                  <c:v>1.288192739284248</c:v>
                </c:pt>
                <c:pt idx="37">
                  <c:v>2.0138374972278728</c:v>
                </c:pt>
                <c:pt idx="38">
                  <c:v>1.4158477970002723</c:v>
                </c:pt>
                <c:pt idx="39">
                  <c:v>2.2512426815798627</c:v>
                </c:pt>
                <c:pt idx="40">
                  <c:v>2.1364391056532313</c:v>
                </c:pt>
                <c:pt idx="41">
                  <c:v>0.83171297036494196</c:v>
                </c:pt>
                <c:pt idx="42">
                  <c:v>2.0125561278327813</c:v>
                </c:pt>
                <c:pt idx="43">
                  <c:v>2.3029544772701058</c:v>
                </c:pt>
                <c:pt idx="44">
                  <c:v>1.8683422783811903</c:v>
                </c:pt>
                <c:pt idx="45">
                  <c:v>2.3652038323015212</c:v>
                </c:pt>
                <c:pt idx="46">
                  <c:v>0.73440899959686678</c:v>
                </c:pt>
                <c:pt idx="47">
                  <c:v>1.5978772278511766</c:v>
                </c:pt>
                <c:pt idx="48">
                  <c:v>0.65126711470739185</c:v>
                </c:pt>
                <c:pt idx="49">
                  <c:v>1.3293869338405861</c:v>
                </c:pt>
                <c:pt idx="50">
                  <c:v>1.8995056683988001</c:v>
                </c:pt>
                <c:pt idx="51">
                  <c:v>1.3596960855399778</c:v>
                </c:pt>
                <c:pt idx="52">
                  <c:v>1.7478960708404836</c:v>
                </c:pt>
                <c:pt idx="53">
                  <c:v>2.064768650472395</c:v>
                </c:pt>
                <c:pt idx="54">
                  <c:v>1.7945788067592614</c:v>
                </c:pt>
                <c:pt idx="55">
                  <c:v>1.4693553815222573</c:v>
                </c:pt>
                <c:pt idx="56">
                  <c:v>0.51120211057061948</c:v>
                </c:pt>
                <c:pt idx="57">
                  <c:v>2.1768524383591323</c:v>
                </c:pt>
                <c:pt idx="58">
                  <c:v>0.82462503177468771</c:v>
                </c:pt>
                <c:pt idx="59">
                  <c:v>1.6342163519242485</c:v>
                </c:pt>
                <c:pt idx="60">
                  <c:v>1.0610499421228003</c:v>
                </c:pt>
                <c:pt idx="61">
                  <c:v>1.6938814196116838</c:v>
                </c:pt>
                <c:pt idx="62">
                  <c:v>1.35634716563963</c:v>
                </c:pt>
                <c:pt idx="63">
                  <c:v>2.245315205397524</c:v>
                </c:pt>
                <c:pt idx="64">
                  <c:v>1.0769979590799488</c:v>
                </c:pt>
                <c:pt idx="65">
                  <c:v>1.076558999649551</c:v>
                </c:pt>
                <c:pt idx="66">
                  <c:v>1.6741267772590169</c:v>
                </c:pt>
                <c:pt idx="67">
                  <c:v>0.63561226547091865</c:v>
                </c:pt>
                <c:pt idx="68">
                  <c:v>1.339400460386345</c:v>
                </c:pt>
                <c:pt idx="69">
                  <c:v>0.94281480533484707</c:v>
                </c:pt>
                <c:pt idx="70">
                  <c:v>0</c:v>
                </c:pt>
                <c:pt idx="71">
                  <c:v>0.15368134448465076</c:v>
                </c:pt>
                <c:pt idx="72">
                  <c:v>1.0040172383309152</c:v>
                </c:pt>
                <c:pt idx="73">
                  <c:v>2.1833404871745228</c:v>
                </c:pt>
                <c:pt idx="74">
                  <c:v>1.5522785587755084</c:v>
                </c:pt>
                <c:pt idx="75">
                  <c:v>1.5300625390689384</c:v>
                </c:pt>
                <c:pt idx="76">
                  <c:v>1.3060135931929595</c:v>
                </c:pt>
                <c:pt idx="77">
                  <c:v>1.8610908057145732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84572544"/>
        <c:axId val="184590720"/>
      </c:barChart>
      <c:catAx>
        <c:axId val="18457254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590720"/>
        <c:crosses val="autoZero"/>
        <c:auto val="1"/>
        <c:lblAlgn val="ctr"/>
        <c:lblOffset val="100"/>
        <c:tickLblSkip val="1"/>
        <c:noMultiLvlLbl val="0"/>
      </c:catAx>
      <c:valAx>
        <c:axId val="1845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Combined factor</a:t>
                </a:r>
                <a:r>
                  <a:rPr lang="en-NZ" baseline="0"/>
                  <a:t> </a:t>
                </a:r>
                <a:r>
                  <a:rPr lang="en-NZ"/>
                  <a:t>weights</a:t>
                </a:r>
              </a:p>
            </c:rich>
          </c:tx>
          <c:layout>
            <c:manualLayout>
              <c:xMode val="edge"/>
              <c:yMode val="edge"/>
              <c:x val="0.34987048673930077"/>
              <c:y val="0.94376720817532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crossAx val="184572544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31746041081935666"/>
          <c:y val="2.3163950735345159E-3"/>
          <c:w val="0.68253958918064339"/>
          <c:h val="5.7841702206421063E-2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 alignWithMargins="0"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9832249229716E-2"/>
          <c:y val="2.3696592229250028E-2"/>
          <c:w val="0.81550747460915207"/>
          <c:h val="0.899922012822167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Model!$T$2</c:f>
              <c:strCache>
                <c:ptCount val="1"/>
                <c:pt idx="0">
                  <c:v>Current</c:v>
                </c:pt>
              </c:strCache>
            </c:strRef>
          </c:tx>
          <c:spPr>
            <a:noFill/>
            <a:ln>
              <a:solidFill>
                <a:schemeClr val="tx2"/>
              </a:solidFill>
            </a:ln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Model!$D$3:$D$80</c:f>
              <c:strCache>
                <c:ptCount val="78"/>
                <c:pt idx="0">
                  <c:v>Chatham Islands Territory</c:v>
                </c:pt>
                <c:pt idx="1">
                  <c:v>Wairoa District</c:v>
                </c:pt>
                <c:pt idx="2">
                  <c:v>Opotiki District</c:v>
                </c:pt>
                <c:pt idx="3">
                  <c:v>Kawerau District</c:v>
                </c:pt>
                <c:pt idx="4">
                  <c:v>Ruapehu District</c:v>
                </c:pt>
                <c:pt idx="5">
                  <c:v>Waitomo District</c:v>
                </c:pt>
                <c:pt idx="6">
                  <c:v>Gisborne District</c:v>
                </c:pt>
                <c:pt idx="7">
                  <c:v>Far North District</c:v>
                </c:pt>
                <c:pt idx="8">
                  <c:v>Tararua District</c:v>
                </c:pt>
                <c:pt idx="9">
                  <c:v>Gisborne District</c:v>
                </c:pt>
                <c:pt idx="10">
                  <c:v>Buller District</c:v>
                </c:pt>
                <c:pt idx="11">
                  <c:v>Rangitikei District</c:v>
                </c:pt>
                <c:pt idx="12">
                  <c:v>South Waikato District</c:v>
                </c:pt>
                <c:pt idx="13">
                  <c:v>Kaipara District</c:v>
                </c:pt>
                <c:pt idx="14">
                  <c:v>Wanganui District</c:v>
                </c:pt>
                <c:pt idx="15">
                  <c:v>Hauraki District</c:v>
                </c:pt>
                <c:pt idx="16">
                  <c:v>Waimate District</c:v>
                </c:pt>
                <c:pt idx="17">
                  <c:v>Central Hawke's Bay District</c:v>
                </c:pt>
                <c:pt idx="18">
                  <c:v>Horowhenua District</c:v>
                </c:pt>
                <c:pt idx="19">
                  <c:v>Clutha District</c:v>
                </c:pt>
                <c:pt idx="20">
                  <c:v>South Taranaki District</c:v>
                </c:pt>
                <c:pt idx="21">
                  <c:v>West Coast Regional</c:v>
                </c:pt>
                <c:pt idx="22">
                  <c:v>Otorohanga District</c:v>
                </c:pt>
                <c:pt idx="23">
                  <c:v>Westland District</c:v>
                </c:pt>
                <c:pt idx="24">
                  <c:v>Grey District</c:v>
                </c:pt>
                <c:pt idx="25">
                  <c:v>Masterton District</c:v>
                </c:pt>
                <c:pt idx="26">
                  <c:v>Stratford District</c:v>
                </c:pt>
                <c:pt idx="27">
                  <c:v>Porirua City</c:v>
                </c:pt>
                <c:pt idx="28">
                  <c:v>Rotorua District</c:v>
                </c:pt>
                <c:pt idx="29">
                  <c:v>Waitaki District</c:v>
                </c:pt>
                <c:pt idx="30">
                  <c:v>Gore District</c:v>
                </c:pt>
                <c:pt idx="31">
                  <c:v>Hastings District</c:v>
                </c:pt>
                <c:pt idx="32">
                  <c:v>Northland Regional</c:v>
                </c:pt>
                <c:pt idx="33">
                  <c:v>Whangarei District</c:v>
                </c:pt>
                <c:pt idx="34">
                  <c:v>Manawatu District</c:v>
                </c:pt>
                <c:pt idx="35">
                  <c:v>Carterton District</c:v>
                </c:pt>
                <c:pt idx="36">
                  <c:v>South Wairarapa District</c:v>
                </c:pt>
                <c:pt idx="37">
                  <c:v>Waikato District</c:v>
                </c:pt>
                <c:pt idx="38">
                  <c:v>Kaikoura District</c:v>
                </c:pt>
                <c:pt idx="39">
                  <c:v>Napier City</c:v>
                </c:pt>
                <c:pt idx="40">
                  <c:v>Thames-Coromandel District</c:v>
                </c:pt>
                <c:pt idx="41">
                  <c:v>Mackenzie District</c:v>
                </c:pt>
                <c:pt idx="42">
                  <c:v>Taupo District</c:v>
                </c:pt>
                <c:pt idx="43">
                  <c:v>Manawatu-Wanganui Regional</c:v>
                </c:pt>
                <c:pt idx="44">
                  <c:v>Invercargill City</c:v>
                </c:pt>
                <c:pt idx="45">
                  <c:v>Hawkes Bay Regional</c:v>
                </c:pt>
                <c:pt idx="46">
                  <c:v>Hurunui District</c:v>
                </c:pt>
                <c:pt idx="47">
                  <c:v>Matamata-Piako District</c:v>
                </c:pt>
                <c:pt idx="48">
                  <c:v>Central Otago District</c:v>
                </c:pt>
                <c:pt idx="49">
                  <c:v>Timaru District</c:v>
                </c:pt>
                <c:pt idx="50">
                  <c:v>Taranaki Regional</c:v>
                </c:pt>
                <c:pt idx="51">
                  <c:v>Southland Regional</c:v>
                </c:pt>
                <c:pt idx="52">
                  <c:v>New Plymouth District</c:v>
                </c:pt>
                <c:pt idx="53">
                  <c:v>Lower Hutt City</c:v>
                </c:pt>
                <c:pt idx="54">
                  <c:v>Palmerston North City</c:v>
                </c:pt>
                <c:pt idx="55">
                  <c:v>Western Bay of Plenty District</c:v>
                </c:pt>
                <c:pt idx="56">
                  <c:v>Southland District</c:v>
                </c:pt>
                <c:pt idx="57">
                  <c:v>Hamilton City</c:v>
                </c:pt>
                <c:pt idx="58">
                  <c:v>Ashburton District</c:v>
                </c:pt>
                <c:pt idx="59">
                  <c:v>Nelson City</c:v>
                </c:pt>
                <c:pt idx="60">
                  <c:v>Tasman District</c:v>
                </c:pt>
                <c:pt idx="61">
                  <c:v>Dunedin City</c:v>
                </c:pt>
                <c:pt idx="62">
                  <c:v>Upper Hutt City</c:v>
                </c:pt>
                <c:pt idx="63">
                  <c:v>Bay of Plenty Regional</c:v>
                </c:pt>
                <c:pt idx="64">
                  <c:v>Marlborough District</c:v>
                </c:pt>
                <c:pt idx="65">
                  <c:v>Waipa District</c:v>
                </c:pt>
                <c:pt idx="66">
                  <c:v>Tauranga City</c:v>
                </c:pt>
                <c:pt idx="67">
                  <c:v>Waimakariri District</c:v>
                </c:pt>
                <c:pt idx="68">
                  <c:v>Otago Regional</c:v>
                </c:pt>
                <c:pt idx="69">
                  <c:v>Kapiti Coast District</c:v>
                </c:pt>
                <c:pt idx="70">
                  <c:v>Selwyn District</c:v>
                </c:pt>
                <c:pt idx="71">
                  <c:v>Queenstown-Lakes District</c:v>
                </c:pt>
                <c:pt idx="72">
                  <c:v>Wellington City</c:v>
                </c:pt>
                <c:pt idx="73">
                  <c:v>Waikato Regional</c:v>
                </c:pt>
                <c:pt idx="74">
                  <c:v>Christchurch City</c:v>
                </c:pt>
                <c:pt idx="75">
                  <c:v>Wellington Regional</c:v>
                </c:pt>
                <c:pt idx="76">
                  <c:v>Canterbury Regional</c:v>
                </c:pt>
                <c:pt idx="77">
                  <c:v>Auckland</c:v>
                </c:pt>
              </c:strCache>
            </c:strRef>
          </c:cat>
          <c:val>
            <c:numRef>
              <c:f>Model!$T$3:$T$80</c:f>
              <c:numCache>
                <c:formatCode>0%</c:formatCode>
                <c:ptCount val="78"/>
                <c:pt idx="0">
                  <c:v>0.89120355845760213</c:v>
                </c:pt>
                <c:pt idx="1">
                  <c:v>0.68384229370636973</c:v>
                </c:pt>
                <c:pt idx="2">
                  <c:v>0.51206895565845589</c:v>
                </c:pt>
                <c:pt idx="3">
                  <c:v>0.6746412874904304</c:v>
                </c:pt>
                <c:pt idx="4">
                  <c:v>0.66396864428815094</c:v>
                </c:pt>
                <c:pt idx="5">
                  <c:v>0.58718511670524409</c:v>
                </c:pt>
                <c:pt idx="6">
                  <c:v>0.59618989688247992</c:v>
                </c:pt>
                <c:pt idx="7">
                  <c:v>0.57895111614666683</c:v>
                </c:pt>
                <c:pt idx="8">
                  <c:v>0.60564349976358844</c:v>
                </c:pt>
                <c:pt idx="9">
                  <c:v>0.54578469618670611</c:v>
                </c:pt>
                <c:pt idx="10">
                  <c:v>0.6649368104687412</c:v>
                </c:pt>
                <c:pt idx="11">
                  <c:v>0.6262879083749695</c:v>
                </c:pt>
                <c:pt idx="12">
                  <c:v>0.50495113415912507</c:v>
                </c:pt>
                <c:pt idx="13">
                  <c:v>0.6113822161459006</c:v>
                </c:pt>
                <c:pt idx="14">
                  <c:v>0.64047887401950632</c:v>
                </c:pt>
                <c:pt idx="15">
                  <c:v>0.54363801357012054</c:v>
                </c:pt>
                <c:pt idx="16">
                  <c:v>0.5246675074454874</c:v>
                </c:pt>
                <c:pt idx="17">
                  <c:v>0.58105518502968545</c:v>
                </c:pt>
                <c:pt idx="18">
                  <c:v>0.4766246626319024</c:v>
                </c:pt>
                <c:pt idx="19">
                  <c:v>0.61395645435790935</c:v>
                </c:pt>
                <c:pt idx="20">
                  <c:v>0.5145575693805986</c:v>
                </c:pt>
                <c:pt idx="21">
                  <c:v>0.66586928571319115</c:v>
                </c:pt>
                <c:pt idx="22">
                  <c:v>0.53493007543303284</c:v>
                </c:pt>
                <c:pt idx="23">
                  <c:v>0.65520808618784343</c:v>
                </c:pt>
                <c:pt idx="24">
                  <c:v>0.63513090030525643</c:v>
                </c:pt>
                <c:pt idx="25">
                  <c:v>0.56095838314623037</c:v>
                </c:pt>
                <c:pt idx="26">
                  <c:v>0.5409182708369219</c:v>
                </c:pt>
                <c:pt idx="27">
                  <c:v>0.46756584747401381</c:v>
                </c:pt>
                <c:pt idx="28">
                  <c:v>0.49388126354940615</c:v>
                </c:pt>
                <c:pt idx="29">
                  <c:v>0.5820071381653128</c:v>
                </c:pt>
                <c:pt idx="30">
                  <c:v>0.56662457934723087</c:v>
                </c:pt>
                <c:pt idx="31">
                  <c:v>0.53490484344788247</c:v>
                </c:pt>
                <c:pt idx="32">
                  <c:v>0.56314764868330836</c:v>
                </c:pt>
                <c:pt idx="33">
                  <c:v>0.53442556042935019</c:v>
                </c:pt>
                <c:pt idx="34">
                  <c:v>0.53020167818944341</c:v>
                </c:pt>
                <c:pt idx="35">
                  <c:v>0.53283629282440415</c:v>
                </c:pt>
                <c:pt idx="36">
                  <c:v>0.60133057683730418</c:v>
                </c:pt>
                <c:pt idx="37">
                  <c:v>0.53240850097099346</c:v>
                </c:pt>
                <c:pt idx="38">
                  <c:v>0.48217804797155883</c:v>
                </c:pt>
                <c:pt idx="39">
                  <c:v>0.49020505220919286</c:v>
                </c:pt>
                <c:pt idx="40">
                  <c:v>0.4436439722260882</c:v>
                </c:pt>
                <c:pt idx="41">
                  <c:v>0.54551893344169655</c:v>
                </c:pt>
                <c:pt idx="42">
                  <c:v>0.51489651966137762</c:v>
                </c:pt>
                <c:pt idx="43">
                  <c:v>0.57852684671452725</c:v>
                </c:pt>
                <c:pt idx="44">
                  <c:v>0.63561797129792375</c:v>
                </c:pt>
                <c:pt idx="45">
                  <c:v>0.5758330753385571</c:v>
                </c:pt>
                <c:pt idx="46">
                  <c:v>0.52490692315209753</c:v>
                </c:pt>
                <c:pt idx="47">
                  <c:v>0.48813244200200578</c:v>
                </c:pt>
                <c:pt idx="48">
                  <c:v>0.51976722978355328</c:v>
                </c:pt>
                <c:pt idx="49">
                  <c:v>0.53736688214239636</c:v>
                </c:pt>
                <c:pt idx="50">
                  <c:v>0.52826815650361958</c:v>
                </c:pt>
                <c:pt idx="51">
                  <c:v>0.82163403392933021</c:v>
                </c:pt>
                <c:pt idx="52">
                  <c:v>0.53188247579474335</c:v>
                </c:pt>
                <c:pt idx="53">
                  <c:v>0.48677993525739682</c:v>
                </c:pt>
                <c:pt idx="54">
                  <c:v>0.48717989223247149</c:v>
                </c:pt>
                <c:pt idx="55">
                  <c:v>0.46467371137511315</c:v>
                </c:pt>
                <c:pt idx="56">
                  <c:v>0.55192684104714351</c:v>
                </c:pt>
                <c:pt idx="57">
                  <c:v>0.52274084352888461</c:v>
                </c:pt>
                <c:pt idx="58">
                  <c:v>0.48134328578398822</c:v>
                </c:pt>
                <c:pt idx="59">
                  <c:v>0.47586589938705104</c:v>
                </c:pt>
                <c:pt idx="60">
                  <c:v>0.50809563845955596</c:v>
                </c:pt>
                <c:pt idx="61">
                  <c:v>0.58784179656853208</c:v>
                </c:pt>
                <c:pt idx="62">
                  <c:v>0.49055462086930901</c:v>
                </c:pt>
                <c:pt idx="63">
                  <c:v>0.52771240182704438</c:v>
                </c:pt>
                <c:pt idx="64">
                  <c:v>0.48515524901302576</c:v>
                </c:pt>
                <c:pt idx="65">
                  <c:v>0.49487742338228768</c:v>
                </c:pt>
                <c:pt idx="66">
                  <c:v>0.46654009407688257</c:v>
                </c:pt>
                <c:pt idx="67">
                  <c:v>0.5048559655148398</c:v>
                </c:pt>
                <c:pt idx="68">
                  <c:v>0.54292842629470273</c:v>
                </c:pt>
                <c:pt idx="69">
                  <c:v>0.45846883110161596</c:v>
                </c:pt>
                <c:pt idx="70">
                  <c:v>0.50018048375249302</c:v>
                </c:pt>
                <c:pt idx="71">
                  <c:v>0.56114499155023734</c:v>
                </c:pt>
                <c:pt idx="72">
                  <c:v>0.46076803469564231</c:v>
                </c:pt>
                <c:pt idx="73">
                  <c:v>0.53058856968296952</c:v>
                </c:pt>
                <c:pt idx="74">
                  <c:v>0.47031550721981613</c:v>
                </c:pt>
                <c:pt idx="75">
                  <c:v>0.5559013418976998</c:v>
                </c:pt>
                <c:pt idx="76">
                  <c:v>0.53195303654113324</c:v>
                </c:pt>
                <c:pt idx="77">
                  <c:v>0.51790995734194234</c:v>
                </c:pt>
              </c:numCache>
            </c:numRef>
          </c:val>
        </c:ser>
        <c:ser>
          <c:idx val="1"/>
          <c:order val="1"/>
          <c:tx>
            <c:strRef>
              <c:f>Model!$S$2</c:f>
              <c:strCache>
                <c:ptCount val="1"/>
                <c:pt idx="0">
                  <c:v>Future</c:v>
                </c:pt>
              </c:strCache>
            </c:strRef>
          </c:tx>
          <c:spPr>
            <a:solidFill>
              <a:schemeClr val="accent3">
                <a:lumMod val="75000"/>
                <a:alpha val="7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Model!$D$3:$D$80</c:f>
              <c:strCache>
                <c:ptCount val="78"/>
                <c:pt idx="0">
                  <c:v>Chatham Islands Territory</c:v>
                </c:pt>
                <c:pt idx="1">
                  <c:v>Wairoa District</c:v>
                </c:pt>
                <c:pt idx="2">
                  <c:v>Opotiki District</c:v>
                </c:pt>
                <c:pt idx="3">
                  <c:v>Kawerau District</c:v>
                </c:pt>
                <c:pt idx="4">
                  <c:v>Ruapehu District</c:v>
                </c:pt>
                <c:pt idx="5">
                  <c:v>Waitomo District</c:v>
                </c:pt>
                <c:pt idx="6">
                  <c:v>Gisborne District</c:v>
                </c:pt>
                <c:pt idx="7">
                  <c:v>Far North District</c:v>
                </c:pt>
                <c:pt idx="8">
                  <c:v>Tararua District</c:v>
                </c:pt>
                <c:pt idx="9">
                  <c:v>Gisborne District</c:v>
                </c:pt>
                <c:pt idx="10">
                  <c:v>Buller District</c:v>
                </c:pt>
                <c:pt idx="11">
                  <c:v>Rangitikei District</c:v>
                </c:pt>
                <c:pt idx="12">
                  <c:v>South Waikato District</c:v>
                </c:pt>
                <c:pt idx="13">
                  <c:v>Kaipara District</c:v>
                </c:pt>
                <c:pt idx="14">
                  <c:v>Wanganui District</c:v>
                </c:pt>
                <c:pt idx="15">
                  <c:v>Hauraki District</c:v>
                </c:pt>
                <c:pt idx="16">
                  <c:v>Waimate District</c:v>
                </c:pt>
                <c:pt idx="17">
                  <c:v>Central Hawke's Bay District</c:v>
                </c:pt>
                <c:pt idx="18">
                  <c:v>Horowhenua District</c:v>
                </c:pt>
                <c:pt idx="19">
                  <c:v>Clutha District</c:v>
                </c:pt>
                <c:pt idx="20">
                  <c:v>South Taranaki District</c:v>
                </c:pt>
                <c:pt idx="21">
                  <c:v>West Coast Regional</c:v>
                </c:pt>
                <c:pt idx="22">
                  <c:v>Otorohanga District</c:v>
                </c:pt>
                <c:pt idx="23">
                  <c:v>Westland District</c:v>
                </c:pt>
                <c:pt idx="24">
                  <c:v>Grey District</c:v>
                </c:pt>
                <c:pt idx="25">
                  <c:v>Masterton District</c:v>
                </c:pt>
                <c:pt idx="26">
                  <c:v>Stratford District</c:v>
                </c:pt>
                <c:pt idx="27">
                  <c:v>Porirua City</c:v>
                </c:pt>
                <c:pt idx="28">
                  <c:v>Rotorua District</c:v>
                </c:pt>
                <c:pt idx="29">
                  <c:v>Waitaki District</c:v>
                </c:pt>
                <c:pt idx="30">
                  <c:v>Gore District</c:v>
                </c:pt>
                <c:pt idx="31">
                  <c:v>Hastings District</c:v>
                </c:pt>
                <c:pt idx="32">
                  <c:v>Northland Regional</c:v>
                </c:pt>
                <c:pt idx="33">
                  <c:v>Whangarei District</c:v>
                </c:pt>
                <c:pt idx="34">
                  <c:v>Manawatu District</c:v>
                </c:pt>
                <c:pt idx="35">
                  <c:v>Carterton District</c:v>
                </c:pt>
                <c:pt idx="36">
                  <c:v>South Wairarapa District</c:v>
                </c:pt>
                <c:pt idx="37">
                  <c:v>Waikato District</c:v>
                </c:pt>
                <c:pt idx="38">
                  <c:v>Kaikoura District</c:v>
                </c:pt>
                <c:pt idx="39">
                  <c:v>Napier City</c:v>
                </c:pt>
                <c:pt idx="40">
                  <c:v>Thames-Coromandel District</c:v>
                </c:pt>
                <c:pt idx="41">
                  <c:v>Mackenzie District</c:v>
                </c:pt>
                <c:pt idx="42">
                  <c:v>Taupo District</c:v>
                </c:pt>
                <c:pt idx="43">
                  <c:v>Manawatu-Wanganui Regional</c:v>
                </c:pt>
                <c:pt idx="44">
                  <c:v>Invercargill City</c:v>
                </c:pt>
                <c:pt idx="45">
                  <c:v>Hawkes Bay Regional</c:v>
                </c:pt>
                <c:pt idx="46">
                  <c:v>Hurunui District</c:v>
                </c:pt>
                <c:pt idx="47">
                  <c:v>Matamata-Piako District</c:v>
                </c:pt>
                <c:pt idx="48">
                  <c:v>Central Otago District</c:v>
                </c:pt>
                <c:pt idx="49">
                  <c:v>Timaru District</c:v>
                </c:pt>
                <c:pt idx="50">
                  <c:v>Taranaki Regional</c:v>
                </c:pt>
                <c:pt idx="51">
                  <c:v>Southland Regional</c:v>
                </c:pt>
                <c:pt idx="52">
                  <c:v>New Plymouth District</c:v>
                </c:pt>
                <c:pt idx="53">
                  <c:v>Lower Hutt City</c:v>
                </c:pt>
                <c:pt idx="54">
                  <c:v>Palmerston North City</c:v>
                </c:pt>
                <c:pt idx="55">
                  <c:v>Western Bay of Plenty District</c:v>
                </c:pt>
                <c:pt idx="56">
                  <c:v>Southland District</c:v>
                </c:pt>
                <c:pt idx="57">
                  <c:v>Hamilton City</c:v>
                </c:pt>
                <c:pt idx="58">
                  <c:v>Ashburton District</c:v>
                </c:pt>
                <c:pt idx="59">
                  <c:v>Nelson City</c:v>
                </c:pt>
                <c:pt idx="60">
                  <c:v>Tasman District</c:v>
                </c:pt>
                <c:pt idx="61">
                  <c:v>Dunedin City</c:v>
                </c:pt>
                <c:pt idx="62">
                  <c:v>Upper Hutt City</c:v>
                </c:pt>
                <c:pt idx="63">
                  <c:v>Bay of Plenty Regional</c:v>
                </c:pt>
                <c:pt idx="64">
                  <c:v>Marlborough District</c:v>
                </c:pt>
                <c:pt idx="65">
                  <c:v>Waipa District</c:v>
                </c:pt>
                <c:pt idx="66">
                  <c:v>Tauranga City</c:v>
                </c:pt>
                <c:pt idx="67">
                  <c:v>Waimakariri District</c:v>
                </c:pt>
                <c:pt idx="68">
                  <c:v>Otago Regional</c:v>
                </c:pt>
                <c:pt idx="69">
                  <c:v>Kapiti Coast District</c:v>
                </c:pt>
                <c:pt idx="70">
                  <c:v>Selwyn District</c:v>
                </c:pt>
                <c:pt idx="71">
                  <c:v>Queenstown-Lakes District</c:v>
                </c:pt>
                <c:pt idx="72">
                  <c:v>Wellington City</c:v>
                </c:pt>
                <c:pt idx="73">
                  <c:v>Waikato Regional</c:v>
                </c:pt>
                <c:pt idx="74">
                  <c:v>Christchurch City</c:v>
                </c:pt>
                <c:pt idx="75">
                  <c:v>Wellington Regional</c:v>
                </c:pt>
                <c:pt idx="76">
                  <c:v>Canterbury Regional</c:v>
                </c:pt>
                <c:pt idx="77">
                  <c:v>Auckland</c:v>
                </c:pt>
              </c:strCache>
            </c:strRef>
          </c:cat>
          <c:val>
            <c:numRef>
              <c:f>Model!$S$3:$S$80</c:f>
              <c:numCache>
                <c:formatCode>0%</c:formatCode>
                <c:ptCount val="78"/>
                <c:pt idx="0">
                  <c:v>0.85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0.71743924886092114</c:v>
                </c:pt>
                <c:pt idx="5">
                  <c:v>0.71238390013359931</c:v>
                </c:pt>
                <c:pt idx="6">
                  <c:v>0.67377741234825761</c:v>
                </c:pt>
                <c:pt idx="7">
                  <c:v>0.65925372385018877</c:v>
                </c:pt>
                <c:pt idx="8">
                  <c:v>0.65207042546561711</c:v>
                </c:pt>
                <c:pt idx="9">
                  <c:v>0.63599381099107366</c:v>
                </c:pt>
                <c:pt idx="10">
                  <c:v>0.63304282018909619</c:v>
                </c:pt>
                <c:pt idx="11">
                  <c:v>0.6251977096241853</c:v>
                </c:pt>
                <c:pt idx="12">
                  <c:v>0.62499151679825804</c:v>
                </c:pt>
                <c:pt idx="13">
                  <c:v>0.60915352369471865</c:v>
                </c:pt>
                <c:pt idx="14">
                  <c:v>0.60411407910168913</c:v>
                </c:pt>
                <c:pt idx="15">
                  <c:v>0.59681210727957612</c:v>
                </c:pt>
                <c:pt idx="16">
                  <c:v>0.59666627928167371</c:v>
                </c:pt>
                <c:pt idx="17">
                  <c:v>0.59544351390300221</c:v>
                </c:pt>
                <c:pt idx="18">
                  <c:v>0.59056335091908996</c:v>
                </c:pt>
                <c:pt idx="19">
                  <c:v>0.58593518570164704</c:v>
                </c:pt>
                <c:pt idx="20">
                  <c:v>0.58138337533772888</c:v>
                </c:pt>
                <c:pt idx="21">
                  <c:v>0.5791756422313673</c:v>
                </c:pt>
                <c:pt idx="22">
                  <c:v>0.57849969703337523</c:v>
                </c:pt>
                <c:pt idx="23">
                  <c:v>0.57678478077937745</c:v>
                </c:pt>
                <c:pt idx="24">
                  <c:v>0.57037233855223057</c:v>
                </c:pt>
                <c:pt idx="25">
                  <c:v>0.57022545777599187</c:v>
                </c:pt>
                <c:pt idx="26">
                  <c:v>0.56655662763060366</c:v>
                </c:pt>
                <c:pt idx="27">
                  <c:v>0.55513186879100629</c:v>
                </c:pt>
                <c:pt idx="28">
                  <c:v>0.55430280942334864</c:v>
                </c:pt>
                <c:pt idx="29">
                  <c:v>0.54760776849422643</c:v>
                </c:pt>
                <c:pt idx="30">
                  <c:v>0.54379896464316757</c:v>
                </c:pt>
                <c:pt idx="31">
                  <c:v>0.53963565689835269</c:v>
                </c:pt>
                <c:pt idx="32">
                  <c:v>0.5391106421605244</c:v>
                </c:pt>
                <c:pt idx="33">
                  <c:v>0.53019685098550906</c:v>
                </c:pt>
                <c:pt idx="34">
                  <c:v>0.52749827568591867</c:v>
                </c:pt>
                <c:pt idx="35">
                  <c:v>0.52522820849492469</c:v>
                </c:pt>
                <c:pt idx="36">
                  <c:v>0.52219330382271623</c:v>
                </c:pt>
                <c:pt idx="37">
                  <c:v>0.52093938823834995</c:v>
                </c:pt>
                <c:pt idx="38">
                  <c:v>0.51166072682313224</c:v>
                </c:pt>
                <c:pt idx="39">
                  <c:v>0.51</c:v>
                </c:pt>
                <c:pt idx="40">
                  <c:v>0.51</c:v>
                </c:pt>
                <c:pt idx="41">
                  <c:v>0.51</c:v>
                </c:pt>
                <c:pt idx="42">
                  <c:v>0.51</c:v>
                </c:pt>
                <c:pt idx="43">
                  <c:v>0.51</c:v>
                </c:pt>
                <c:pt idx="44">
                  <c:v>0.51</c:v>
                </c:pt>
                <c:pt idx="45">
                  <c:v>0.51</c:v>
                </c:pt>
                <c:pt idx="46">
                  <c:v>0.51</c:v>
                </c:pt>
                <c:pt idx="47">
                  <c:v>0.51</c:v>
                </c:pt>
                <c:pt idx="48">
                  <c:v>0.51</c:v>
                </c:pt>
                <c:pt idx="49">
                  <c:v>0.51</c:v>
                </c:pt>
                <c:pt idx="50">
                  <c:v>0.51</c:v>
                </c:pt>
                <c:pt idx="51">
                  <c:v>0.51</c:v>
                </c:pt>
                <c:pt idx="52">
                  <c:v>0.51</c:v>
                </c:pt>
                <c:pt idx="53">
                  <c:v>0.51</c:v>
                </c:pt>
                <c:pt idx="54">
                  <c:v>0.51</c:v>
                </c:pt>
                <c:pt idx="55">
                  <c:v>0.51</c:v>
                </c:pt>
                <c:pt idx="56">
                  <c:v>0.51</c:v>
                </c:pt>
                <c:pt idx="57">
                  <c:v>0.51</c:v>
                </c:pt>
                <c:pt idx="58">
                  <c:v>0.51</c:v>
                </c:pt>
                <c:pt idx="59">
                  <c:v>0.51</c:v>
                </c:pt>
                <c:pt idx="60">
                  <c:v>0.51</c:v>
                </c:pt>
                <c:pt idx="61">
                  <c:v>0.51</c:v>
                </c:pt>
                <c:pt idx="62">
                  <c:v>0.51</c:v>
                </c:pt>
                <c:pt idx="63">
                  <c:v>0.51</c:v>
                </c:pt>
                <c:pt idx="64">
                  <c:v>0.51</c:v>
                </c:pt>
                <c:pt idx="65">
                  <c:v>0.51</c:v>
                </c:pt>
                <c:pt idx="66">
                  <c:v>0.51</c:v>
                </c:pt>
                <c:pt idx="67">
                  <c:v>0.51</c:v>
                </c:pt>
                <c:pt idx="68">
                  <c:v>0.51</c:v>
                </c:pt>
                <c:pt idx="69">
                  <c:v>0.51</c:v>
                </c:pt>
                <c:pt idx="70">
                  <c:v>0.51</c:v>
                </c:pt>
                <c:pt idx="71">
                  <c:v>0.51</c:v>
                </c:pt>
                <c:pt idx="72">
                  <c:v>0.51</c:v>
                </c:pt>
                <c:pt idx="73">
                  <c:v>0.51</c:v>
                </c:pt>
                <c:pt idx="74">
                  <c:v>0.51</c:v>
                </c:pt>
                <c:pt idx="75">
                  <c:v>0.51</c:v>
                </c:pt>
                <c:pt idx="76">
                  <c:v>0.51</c:v>
                </c:pt>
                <c:pt idx="77">
                  <c:v>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85042816"/>
        <c:axId val="185044352"/>
      </c:barChart>
      <c:catAx>
        <c:axId val="185042816"/>
        <c:scaling>
          <c:orientation val="maxMin"/>
        </c:scaling>
        <c:delete val="0"/>
        <c:axPos val="l"/>
        <c:majorGridlines/>
        <c:majorTickMark val="out"/>
        <c:minorTickMark val="none"/>
        <c:tickLblPos val="none"/>
        <c:crossAx val="185044352"/>
        <c:crosses val="autoZero"/>
        <c:auto val="1"/>
        <c:lblAlgn val="ctr"/>
        <c:lblOffset val="100"/>
        <c:tickLblSkip val="1"/>
        <c:noMultiLvlLbl val="0"/>
      </c:catAx>
      <c:valAx>
        <c:axId val="185044352"/>
        <c:scaling>
          <c:orientation val="minMax"/>
          <c:max val="0.9"/>
          <c:min val="0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FAR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crossAx val="185042816"/>
        <c:crosses val="max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24907543078854275"/>
          <c:y val="0"/>
          <c:w val="0.49025493552436378"/>
          <c:h val="2.4180419264988033E-2"/>
        </c:manualLayout>
      </c:layout>
      <c:overlay val="1"/>
      <c:spPr>
        <a:noFill/>
      </c:spPr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9832249229716E-2"/>
          <c:y val="5.6614037811439442E-2"/>
          <c:w val="0.81550747460915207"/>
          <c:h val="0.86699749793394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Model!$AJ$2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Model!$AJ$3:$AJ$158</c:f>
              <c:numCache>
                <c:formatCode>General</c:formatCode>
                <c:ptCount val="156"/>
                <c:pt idx="0">
                  <c:v>13641438.35</c:v>
                </c:pt>
                <c:pt idx="2">
                  <c:v>20641396</c:v>
                </c:pt>
                <c:pt idx="4">
                  <c:v>4477618</c:v>
                </c:pt>
                <c:pt idx="6">
                  <c:v>1298926</c:v>
                </c:pt>
                <c:pt idx="8">
                  <c:v>28714642</c:v>
                </c:pt>
                <c:pt idx="10">
                  <c:v>17892241</c:v>
                </c:pt>
                <c:pt idx="12">
                  <c:v>48898923</c:v>
                </c:pt>
                <c:pt idx="14">
                  <c:v>56531790</c:v>
                </c:pt>
                <c:pt idx="16">
                  <c:v>26544282</c:v>
                </c:pt>
                <c:pt idx="18">
                  <c:v>21114629</c:v>
                </c:pt>
                <c:pt idx="20">
                  <c:v>9969972.4254046492</c:v>
                </c:pt>
                <c:pt idx="22">
                  <c:v>31335956.412527788</c:v>
                </c:pt>
                <c:pt idx="24">
                  <c:v>10192883</c:v>
                </c:pt>
                <c:pt idx="26">
                  <c:v>34896041.856798492</c:v>
                </c:pt>
                <c:pt idx="28">
                  <c:v>27356132.882578377</c:v>
                </c:pt>
                <c:pt idx="30">
                  <c:v>11332393.17</c:v>
                </c:pt>
                <c:pt idx="32">
                  <c:v>6508587</c:v>
                </c:pt>
                <c:pt idx="34">
                  <c:v>22640229</c:v>
                </c:pt>
                <c:pt idx="36">
                  <c:v>7924599</c:v>
                </c:pt>
                <c:pt idx="38">
                  <c:v>31966602.255491193</c:v>
                </c:pt>
                <c:pt idx="40">
                  <c:v>25010931</c:v>
                </c:pt>
                <c:pt idx="42">
                  <c:v>377942.80286500545</c:v>
                </c:pt>
                <c:pt idx="44">
                  <c:v>10828796</c:v>
                </c:pt>
                <c:pt idx="46">
                  <c:v>8294665.7967971638</c:v>
                </c:pt>
                <c:pt idx="48">
                  <c:v>11694021.796965102</c:v>
                </c:pt>
                <c:pt idx="50">
                  <c:v>14799705</c:v>
                </c:pt>
                <c:pt idx="52">
                  <c:v>9238751</c:v>
                </c:pt>
                <c:pt idx="54">
                  <c:v>7418641</c:v>
                </c:pt>
                <c:pt idx="56">
                  <c:v>26021940</c:v>
                </c:pt>
                <c:pt idx="58">
                  <c:v>17704858.450538706</c:v>
                </c:pt>
                <c:pt idx="60">
                  <c:v>7503930.311218923</c:v>
                </c:pt>
                <c:pt idx="62">
                  <c:v>40519442</c:v>
                </c:pt>
                <c:pt idx="64">
                  <c:v>2807778.255849252</c:v>
                </c:pt>
                <c:pt idx="66">
                  <c:v>61975668.507602736</c:v>
                </c:pt>
                <c:pt idx="68">
                  <c:v>21774355.507842567</c:v>
                </c:pt>
                <c:pt idx="70">
                  <c:v>5757384.5989510631</c:v>
                </c:pt>
                <c:pt idx="72">
                  <c:v>7695597.7053867253</c:v>
                </c:pt>
                <c:pt idx="74">
                  <c:v>59009524.575145401</c:v>
                </c:pt>
                <c:pt idx="76">
                  <c:v>1475636</c:v>
                </c:pt>
                <c:pt idx="78">
                  <c:v>12829703</c:v>
                </c:pt>
                <c:pt idx="80">
                  <c:v>19004903</c:v>
                </c:pt>
                <c:pt idx="82">
                  <c:v>5160717.03</c:v>
                </c:pt>
                <c:pt idx="84">
                  <c:v>52033358.43</c:v>
                </c:pt>
                <c:pt idx="86">
                  <c:v>10639265.550000001</c:v>
                </c:pt>
                <c:pt idx="88">
                  <c:v>25505298.390000001</c:v>
                </c:pt>
                <c:pt idx="90">
                  <c:v>7786882.4699999997</c:v>
                </c:pt>
                <c:pt idx="92">
                  <c:v>12942208.800000001</c:v>
                </c:pt>
                <c:pt idx="94">
                  <c:v>20685033</c:v>
                </c:pt>
                <c:pt idx="96">
                  <c:v>12734191.02</c:v>
                </c:pt>
                <c:pt idx="98">
                  <c:v>23272189.440000001</c:v>
                </c:pt>
                <c:pt idx="100">
                  <c:v>4325729.7300000004</c:v>
                </c:pt>
                <c:pt idx="102">
                  <c:v>312048.59999999998</c:v>
                </c:pt>
                <c:pt idx="104">
                  <c:v>30376651.620000001</c:v>
                </c:pt>
                <c:pt idx="106">
                  <c:v>27615568</c:v>
                </c:pt>
                <c:pt idx="108">
                  <c:v>16684384</c:v>
                </c:pt>
                <c:pt idx="110">
                  <c:v>25614860</c:v>
                </c:pt>
                <c:pt idx="112">
                  <c:v>46693134.149999999</c:v>
                </c:pt>
                <c:pt idx="114">
                  <c:v>76637092.079999998</c:v>
                </c:pt>
                <c:pt idx="116">
                  <c:v>18760769</c:v>
                </c:pt>
                <c:pt idx="118">
                  <c:v>11677930</c:v>
                </c:pt>
                <c:pt idx="120">
                  <c:v>25969673</c:v>
                </c:pt>
                <c:pt idx="122">
                  <c:v>63135869.730000004</c:v>
                </c:pt>
                <c:pt idx="124">
                  <c:v>10236002</c:v>
                </c:pt>
                <c:pt idx="126">
                  <c:v>20347696.440000001</c:v>
                </c:pt>
                <c:pt idx="128">
                  <c:v>20784308</c:v>
                </c:pt>
                <c:pt idx="130">
                  <c:v>25837287</c:v>
                </c:pt>
                <c:pt idx="132">
                  <c:v>28532193</c:v>
                </c:pt>
                <c:pt idx="134">
                  <c:v>17541998</c:v>
                </c:pt>
                <c:pt idx="136">
                  <c:v>15496727.4</c:v>
                </c:pt>
                <c:pt idx="138">
                  <c:v>10683142.59</c:v>
                </c:pt>
                <c:pt idx="140">
                  <c:v>19280160</c:v>
                </c:pt>
                <c:pt idx="142">
                  <c:v>39157028.880000003</c:v>
                </c:pt>
                <c:pt idx="144">
                  <c:v>61752690</c:v>
                </c:pt>
                <c:pt idx="146">
                  <c:v>35712314.969999999</c:v>
                </c:pt>
                <c:pt idx="148">
                  <c:v>85849130</c:v>
                </c:pt>
                <c:pt idx="150">
                  <c:v>186208810.14000002</c:v>
                </c:pt>
                <c:pt idx="152">
                  <c:v>85114294.739999995</c:v>
                </c:pt>
                <c:pt idx="154">
                  <c:v>1191514445.901</c:v>
                </c:pt>
              </c:numCache>
            </c:numRef>
          </c:val>
        </c:ser>
        <c:ser>
          <c:idx val="1"/>
          <c:order val="1"/>
          <c:tx>
            <c:strRef>
              <c:f>Model!$AK$2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00B050"/>
            </a:solidFill>
            <a:ln w="3175">
              <a:noFill/>
            </a:ln>
          </c:spPr>
          <c:invertIfNegative val="0"/>
          <c:val>
            <c:numRef>
              <c:f>Model!$AK$3:$AK$158</c:f>
              <c:numCache>
                <c:formatCode>General</c:formatCode>
                <c:ptCount val="156"/>
                <c:pt idx="0">
                  <c:v>0</c:v>
                </c:pt>
                <c:pt idx="2">
                  <c:v>1996933.25</c:v>
                </c:pt>
                <c:pt idx="4">
                  <c:v>2080509.5</c:v>
                </c:pt>
                <c:pt idx="6">
                  <c:v>145092.5</c:v>
                </c:pt>
                <c:pt idx="8">
                  <c:v>2312442.4338995256</c:v>
                </c:pt>
                <c:pt idx="10">
                  <c:v>3814958.4215899333</c:v>
                </c:pt>
                <c:pt idx="12">
                  <c:v>6363653.5344882384</c:v>
                </c:pt>
                <c:pt idx="14">
                  <c:v>7841163.1457980424</c:v>
                </c:pt>
                <c:pt idx="16">
                  <c:v>2034809.9314344972</c:v>
                </c:pt>
                <c:pt idx="18">
                  <c:v>3489896.2994393744</c:v>
                </c:pt>
                <c:pt idx="20">
                  <c:v>0</c:v>
                </c:pt>
                <c:pt idx="22">
                  <c:v>0</c:v>
                </c:pt>
                <c:pt idx="24">
                  <c:v>2423120.7591076214</c:v>
                </c:pt>
                <c:pt idx="26">
                  <c:v>0</c:v>
                </c:pt>
                <c:pt idx="28">
                  <c:v>0</c:v>
                </c:pt>
                <c:pt idx="30">
                  <c:v>1108439.2947739493</c:v>
                </c:pt>
                <c:pt idx="32">
                  <c:v>893156.64442524407</c:v>
                </c:pt>
                <c:pt idx="34">
                  <c:v>560626.71672495455</c:v>
                </c:pt>
                <c:pt idx="36">
                  <c:v>1894401.372929547</c:v>
                </c:pt>
                <c:pt idx="38">
                  <c:v>0</c:v>
                </c:pt>
                <c:pt idx="40">
                  <c:v>3248180.0312938765</c:v>
                </c:pt>
                <c:pt idx="42">
                  <c:v>0</c:v>
                </c:pt>
                <c:pt idx="44">
                  <c:v>881996.66792966984</c:v>
                </c:pt>
                <c:pt idx="46">
                  <c:v>0</c:v>
                </c:pt>
                <c:pt idx="48">
                  <c:v>0</c:v>
                </c:pt>
                <c:pt idx="50">
                  <c:v>244492.23838001117</c:v>
                </c:pt>
                <c:pt idx="52">
                  <c:v>437896.82700031251</c:v>
                </c:pt>
                <c:pt idx="54">
                  <c:v>1389367.6782824025</c:v>
                </c:pt>
                <c:pt idx="56">
                  <c:v>3183530.0455403738</c:v>
                </c:pt>
                <c:pt idx="58">
                  <c:v>0</c:v>
                </c:pt>
                <c:pt idx="60">
                  <c:v>0</c:v>
                </c:pt>
                <c:pt idx="62">
                  <c:v>358362.65752157569</c:v>
                </c:pt>
                <c:pt idx="64">
                  <c:v>0</c:v>
                </c:pt>
                <c:pt idx="66">
                  <c:v>0</c:v>
                </c:pt>
                <c:pt idx="68">
                  <c:v>0</c:v>
                </c:pt>
                <c:pt idx="70">
                  <c:v>0</c:v>
                </c:pt>
                <c:pt idx="72">
                  <c:v>0</c:v>
                </c:pt>
                <c:pt idx="74">
                  <c:v>0</c:v>
                </c:pt>
                <c:pt idx="76">
                  <c:v>90227.463636806933</c:v>
                </c:pt>
                <c:pt idx="78">
                  <c:v>518075.65000000037</c:v>
                </c:pt>
                <c:pt idx="80">
                  <c:v>2842571.8599999994</c:v>
                </c:pt>
                <c:pt idx="82">
                  <c:v>0</c:v>
                </c:pt>
                <c:pt idx="84">
                  <c:v>0</c:v>
                </c:pt>
                <c:pt idx="86">
                  <c:v>0</c:v>
                </c:pt>
                <c:pt idx="88">
                  <c:v>0</c:v>
                </c:pt>
                <c:pt idx="90">
                  <c:v>0</c:v>
                </c:pt>
                <c:pt idx="92">
                  <c:v>0</c:v>
                </c:pt>
                <c:pt idx="94">
                  <c:v>926656.62000000104</c:v>
                </c:pt>
                <c:pt idx="96">
                  <c:v>0</c:v>
                </c:pt>
                <c:pt idx="98">
                  <c:v>0</c:v>
                </c:pt>
                <c:pt idx="100">
                  <c:v>0</c:v>
                </c:pt>
                <c:pt idx="102">
                  <c:v>0</c:v>
                </c:pt>
                <c:pt idx="104">
                  <c:v>0</c:v>
                </c:pt>
                <c:pt idx="106">
                  <c:v>1317300.1400000006</c:v>
                </c:pt>
                <c:pt idx="108">
                  <c:v>781517.14999999851</c:v>
                </c:pt>
                <c:pt idx="110">
                  <c:v>2498584.5100000016</c:v>
                </c:pt>
                <c:pt idx="112">
                  <c:v>0</c:v>
                </c:pt>
                <c:pt idx="114">
                  <c:v>0</c:v>
                </c:pt>
                <c:pt idx="116">
                  <c:v>1116920.1099999994</c:v>
                </c:pt>
                <c:pt idx="118">
                  <c:v>837663.80000000075</c:v>
                </c:pt>
                <c:pt idx="120">
                  <c:v>97335.309999998659</c:v>
                </c:pt>
                <c:pt idx="122">
                  <c:v>0</c:v>
                </c:pt>
                <c:pt idx="124">
                  <c:v>405750.8200000003</c:v>
                </c:pt>
                <c:pt idx="126">
                  <c:v>0</c:v>
                </c:pt>
                <c:pt idx="128">
                  <c:v>1064362.3000000007</c:v>
                </c:pt>
                <c:pt idx="130">
                  <c:v>789541.6799999997</c:v>
                </c:pt>
                <c:pt idx="132">
                  <c:v>2657877.5100000016</c:v>
                </c:pt>
                <c:pt idx="134">
                  <c:v>178737.39999999851</c:v>
                </c:pt>
                <c:pt idx="136">
                  <c:v>0</c:v>
                </c:pt>
                <c:pt idx="138">
                  <c:v>1200768.2699999996</c:v>
                </c:pt>
                <c:pt idx="140">
                  <c:v>378507.05999999866</c:v>
                </c:pt>
                <c:pt idx="142">
                  <c:v>0</c:v>
                </c:pt>
                <c:pt idx="144">
                  <c:v>6598127.6099999994</c:v>
                </c:pt>
                <c:pt idx="146">
                  <c:v>0</c:v>
                </c:pt>
                <c:pt idx="148">
                  <c:v>7243816.3900000006</c:v>
                </c:pt>
                <c:pt idx="150">
                  <c:v>0</c:v>
                </c:pt>
                <c:pt idx="152">
                  <c:v>0</c:v>
                </c:pt>
                <c:pt idx="154">
                  <c:v>0</c:v>
                </c:pt>
              </c:numCache>
            </c:numRef>
          </c:val>
        </c:ser>
        <c:ser>
          <c:idx val="2"/>
          <c:order val="2"/>
          <c:tx>
            <c:strRef>
              <c:f>Model!$AL$2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Model!$AL$3:$AL$158</c:f>
              <c:numCache>
                <c:formatCode>General</c:formatCode>
                <c:ptCount val="156"/>
                <c:pt idx="0">
                  <c:v>661265.65000000037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502307.57459535077</c:v>
                </c:pt>
                <c:pt idx="22">
                  <c:v>54642.58747221157</c:v>
                </c:pt>
                <c:pt idx="24">
                  <c:v>0</c:v>
                </c:pt>
                <c:pt idx="26">
                  <c:v>127673.14320150763</c:v>
                </c:pt>
                <c:pt idx="28">
                  <c:v>1646709.1174216233</c:v>
                </c:pt>
                <c:pt idx="30">
                  <c:v>0</c:v>
                </c:pt>
                <c:pt idx="32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1528743.7445088066</c:v>
                </c:pt>
                <c:pt idx="40">
                  <c:v>0</c:v>
                </c:pt>
                <c:pt idx="42">
                  <c:v>56572.197134994552</c:v>
                </c:pt>
                <c:pt idx="44">
                  <c:v>0</c:v>
                </c:pt>
                <c:pt idx="46">
                  <c:v>1127795.2032028362</c:v>
                </c:pt>
                <c:pt idx="48">
                  <c:v>1327708.2030348983</c:v>
                </c:pt>
                <c:pt idx="50">
                  <c:v>0</c:v>
                </c:pt>
                <c:pt idx="52">
                  <c:v>0</c:v>
                </c:pt>
                <c:pt idx="54">
                  <c:v>0</c:v>
                </c:pt>
                <c:pt idx="56">
                  <c:v>0</c:v>
                </c:pt>
                <c:pt idx="58">
                  <c:v>1112175.549461294</c:v>
                </c:pt>
                <c:pt idx="60">
                  <c:v>314972.68878107704</c:v>
                </c:pt>
                <c:pt idx="62">
                  <c:v>0</c:v>
                </c:pt>
                <c:pt idx="64">
                  <c:v>125188.74415074801</c:v>
                </c:pt>
                <c:pt idx="66">
                  <c:v>494301.49239726365</c:v>
                </c:pt>
                <c:pt idx="68">
                  <c:v>111592.49215743318</c:v>
                </c:pt>
                <c:pt idx="70">
                  <c:v>83397.401048936881</c:v>
                </c:pt>
                <c:pt idx="72">
                  <c:v>1166251.2946132747</c:v>
                </c:pt>
                <c:pt idx="74">
                  <c:v>1299166.2848545983</c:v>
                </c:pt>
                <c:pt idx="76">
                  <c:v>0</c:v>
                </c:pt>
                <c:pt idx="78">
                  <c:v>0</c:v>
                </c:pt>
                <c:pt idx="80">
                  <c:v>0</c:v>
                </c:pt>
                <c:pt idx="82">
                  <c:v>359417.96999999974</c:v>
                </c:pt>
                <c:pt idx="84">
                  <c:v>499573.26000000536</c:v>
                </c:pt>
                <c:pt idx="86">
                  <c:v>1429559.4499999993</c:v>
                </c:pt>
                <c:pt idx="88">
                  <c:v>6282203.6099999994</c:v>
                </c:pt>
                <c:pt idx="90">
                  <c:v>1005165.5300000003</c:v>
                </c:pt>
                <c:pt idx="92">
                  <c:v>378291.19999999925</c:v>
                </c:pt>
                <c:pt idx="94">
                  <c:v>0</c:v>
                </c:pt>
                <c:pt idx="96">
                  <c:v>243877.98000000045</c:v>
                </c:pt>
                <c:pt idx="98">
                  <c:v>1248798.5599999987</c:v>
                </c:pt>
                <c:pt idx="100">
                  <c:v>154947.26999999955</c:v>
                </c:pt>
                <c:pt idx="102">
                  <c:v>190676.40000000002</c:v>
                </c:pt>
                <c:pt idx="104">
                  <c:v>1303365.379999999</c:v>
                </c:pt>
                <c:pt idx="106">
                  <c:v>0</c:v>
                </c:pt>
                <c:pt idx="108">
                  <c:v>0</c:v>
                </c:pt>
                <c:pt idx="110">
                  <c:v>0</c:v>
                </c:pt>
                <c:pt idx="112">
                  <c:v>3838618.8500000015</c:v>
                </c:pt>
                <c:pt idx="114">
                  <c:v>1914551.3700000048</c:v>
                </c:pt>
                <c:pt idx="116">
                  <c:v>0</c:v>
                </c:pt>
                <c:pt idx="118">
                  <c:v>0</c:v>
                </c:pt>
                <c:pt idx="120">
                  <c:v>0</c:v>
                </c:pt>
                <c:pt idx="122">
                  <c:v>9636489.2699999958</c:v>
                </c:pt>
                <c:pt idx="124">
                  <c:v>0</c:v>
                </c:pt>
                <c:pt idx="126">
                  <c:v>706679.55999999866</c:v>
                </c:pt>
                <c:pt idx="128">
                  <c:v>0</c:v>
                </c:pt>
                <c:pt idx="130">
                  <c:v>0</c:v>
                </c:pt>
                <c:pt idx="132">
                  <c:v>0</c:v>
                </c:pt>
                <c:pt idx="134">
                  <c:v>0</c:v>
                </c:pt>
                <c:pt idx="136">
                  <c:v>1000554.5999999996</c:v>
                </c:pt>
                <c:pt idx="138">
                  <c:v>0</c:v>
                </c:pt>
                <c:pt idx="140">
                  <c:v>0</c:v>
                </c:pt>
                <c:pt idx="142">
                  <c:v>3926835.1199999973</c:v>
                </c:pt>
                <c:pt idx="144">
                  <c:v>0</c:v>
                </c:pt>
                <c:pt idx="146">
                  <c:v>1441697.0300000012</c:v>
                </c:pt>
                <c:pt idx="148">
                  <c:v>0</c:v>
                </c:pt>
                <c:pt idx="150">
                  <c:v>16759282.859999985</c:v>
                </c:pt>
                <c:pt idx="152">
                  <c:v>3663759.2600000054</c:v>
                </c:pt>
                <c:pt idx="154">
                  <c:v>18480055.763499975</c:v>
                </c:pt>
              </c:numCache>
            </c:numRef>
          </c:val>
        </c:ser>
        <c:ser>
          <c:idx val="3"/>
          <c:order val="3"/>
          <c:tx>
            <c:strRef>
              <c:f>Model!$AM$2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Model!$AM$3:$AM$158</c:f>
              <c:numCache>
                <c:formatCode>General</c:formatCode>
                <c:ptCount val="156"/>
                <c:pt idx="1">
                  <c:v>1746047</c:v>
                </c:pt>
                <c:pt idx="3">
                  <c:v>7546109.75</c:v>
                </c:pt>
                <c:pt idx="5">
                  <c:v>2186042.5</c:v>
                </c:pt>
                <c:pt idx="7">
                  <c:v>481339.5</c:v>
                </c:pt>
                <c:pt idx="9">
                  <c:v>12219900.566100474</c:v>
                </c:pt>
                <c:pt idx="11">
                  <c:v>8764010.5784100667</c:v>
                </c:pt>
                <c:pt idx="13">
                  <c:v>26756463.465511762</c:v>
                </c:pt>
                <c:pt idx="15">
                  <c:v>33272233.854201958</c:v>
                </c:pt>
                <c:pt idx="17">
                  <c:v>15249137.068565503</c:v>
                </c:pt>
                <c:pt idx="19">
                  <c:v>14082211.700560626</c:v>
                </c:pt>
                <c:pt idx="21">
                  <c:v>5277006</c:v>
                </c:pt>
                <c:pt idx="23">
                  <c:v>18731076</c:v>
                </c:pt>
                <c:pt idx="25">
                  <c:v>7569876.2408923786</c:v>
                </c:pt>
                <c:pt idx="27">
                  <c:v>22262405</c:v>
                </c:pt>
                <c:pt idx="29">
                  <c:v>16280216</c:v>
                </c:pt>
                <c:pt idx="31">
                  <c:v>8404643.5452260487</c:v>
                </c:pt>
                <c:pt idx="33">
                  <c:v>5003421.3555747559</c:v>
                </c:pt>
                <c:pt idx="35">
                  <c:v>15763135.283275045</c:v>
                </c:pt>
                <c:pt idx="37">
                  <c:v>6807497.627070453</c:v>
                </c:pt>
                <c:pt idx="39">
                  <c:v>21061204</c:v>
                </c:pt>
                <c:pt idx="41">
                  <c:v>20347560.968706124</c:v>
                </c:pt>
                <c:pt idx="43">
                  <c:v>218038</c:v>
                </c:pt>
                <c:pt idx="45">
                  <c:v>8532593.3320703302</c:v>
                </c:pt>
                <c:pt idx="47">
                  <c:v>4958407</c:v>
                </c:pt>
                <c:pt idx="49">
                  <c:v>7480705</c:v>
                </c:pt>
                <c:pt idx="51">
                  <c:v>11338695.761619989</c:v>
                </c:pt>
                <c:pt idx="53">
                  <c:v>7403106.1729996875</c:v>
                </c:pt>
                <c:pt idx="55">
                  <c:v>7058507.3217175975</c:v>
                </c:pt>
                <c:pt idx="57">
                  <c:v>23483185.954459626</c:v>
                </c:pt>
                <c:pt idx="59">
                  <c:v>13514243</c:v>
                </c:pt>
                <c:pt idx="61">
                  <c:v>5980186</c:v>
                </c:pt>
                <c:pt idx="63">
                  <c:v>34872943.342478424</c:v>
                </c:pt>
                <c:pt idx="65">
                  <c:v>2275200</c:v>
                </c:pt>
                <c:pt idx="67">
                  <c:v>54421838</c:v>
                </c:pt>
                <c:pt idx="69">
                  <c:v>19392586</c:v>
                </c:pt>
                <c:pt idx="71">
                  <c:v>5120900</c:v>
                </c:pt>
                <c:pt idx="73">
                  <c:v>5875218</c:v>
                </c:pt>
                <c:pt idx="75">
                  <c:v>52966530.609999999</c:v>
                </c:pt>
                <c:pt idx="77">
                  <c:v>1494491.5363631931</c:v>
                </c:pt>
                <c:pt idx="79">
                  <c:v>12824336.35</c:v>
                </c:pt>
                <c:pt idx="81">
                  <c:v>20990711.140000001</c:v>
                </c:pt>
                <c:pt idx="83">
                  <c:v>4598918</c:v>
                </c:pt>
                <c:pt idx="85">
                  <c:v>49493261.309999995</c:v>
                </c:pt>
                <c:pt idx="87">
                  <c:v>8792480</c:v>
                </c:pt>
                <c:pt idx="89">
                  <c:v>18222887</c:v>
                </c:pt>
                <c:pt idx="91">
                  <c:v>6476349</c:v>
                </c:pt>
                <c:pt idx="93">
                  <c:v>12056380</c:v>
                </c:pt>
                <c:pt idx="95">
                  <c:v>20764172.379999999</c:v>
                </c:pt>
                <c:pt idx="97">
                  <c:v>11990933</c:v>
                </c:pt>
                <c:pt idx="99">
                  <c:v>21110756</c:v>
                </c:pt>
                <c:pt idx="101">
                  <c:v>4001146</c:v>
                </c:pt>
                <c:pt idx="103">
                  <c:v>109135</c:v>
                </c:pt>
                <c:pt idx="105">
                  <c:v>27882045</c:v>
                </c:pt>
                <c:pt idx="107">
                  <c:v>27798245.859999999</c:v>
                </c:pt>
                <c:pt idx="109">
                  <c:v>16780963.850000001</c:v>
                </c:pt>
                <c:pt idx="111">
                  <c:v>27010956.489999998</c:v>
                </c:pt>
                <c:pt idx="113">
                  <c:v>41023412</c:v>
                </c:pt>
                <c:pt idx="115">
                  <c:v>71717164.549999997</c:v>
                </c:pt>
                <c:pt idx="117">
                  <c:v>19098171.890000001</c:v>
                </c:pt>
                <c:pt idx="119">
                  <c:v>12024786.199999999</c:v>
                </c:pt>
                <c:pt idx="121">
                  <c:v>25044772.690000001</c:v>
                </c:pt>
                <c:pt idx="123">
                  <c:v>51023464</c:v>
                </c:pt>
                <c:pt idx="125">
                  <c:v>10224429.18</c:v>
                </c:pt>
                <c:pt idx="127">
                  <c:v>18843068</c:v>
                </c:pt>
                <c:pt idx="129">
                  <c:v>20991859.699999999</c:v>
                </c:pt>
                <c:pt idx="131">
                  <c:v>25582639.32</c:v>
                </c:pt>
                <c:pt idx="133">
                  <c:v>29966930.489999998</c:v>
                </c:pt>
                <c:pt idx="135">
                  <c:v>17025804.600000001</c:v>
                </c:pt>
                <c:pt idx="137">
                  <c:v>13888458</c:v>
                </c:pt>
                <c:pt idx="139">
                  <c:v>11417875.140000001</c:v>
                </c:pt>
                <c:pt idx="141">
                  <c:v>18887738.940000001</c:v>
                </c:pt>
                <c:pt idx="143">
                  <c:v>33694624</c:v>
                </c:pt>
                <c:pt idx="145">
                  <c:v>65670393.390000001</c:v>
                </c:pt>
                <c:pt idx="147">
                  <c:v>32870135</c:v>
                </c:pt>
                <c:pt idx="149">
                  <c:v>89442242.609999999</c:v>
                </c:pt>
                <c:pt idx="151">
                  <c:v>162147221</c:v>
                </c:pt>
                <c:pt idx="153">
                  <c:v>78112720</c:v>
                </c:pt>
                <c:pt idx="155">
                  <c:v>1126308333.4354999</c:v>
                </c:pt>
              </c:numCache>
            </c:numRef>
          </c:val>
        </c:ser>
        <c:ser>
          <c:idx val="4"/>
          <c:order val="4"/>
          <c:tx>
            <c:strRef>
              <c:f>Model!$AN$2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Model!$AN$3:$AN$158</c:f>
              <c:numCache>
                <c:formatCode>General</c:formatCode>
                <c:ptCount val="156"/>
                <c:pt idx="1">
                  <c:v>661265.65000000037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502307.57459535077</c:v>
                </c:pt>
                <c:pt idx="23">
                  <c:v>54642.58747221157</c:v>
                </c:pt>
                <c:pt idx="25">
                  <c:v>0</c:v>
                </c:pt>
                <c:pt idx="27">
                  <c:v>127673.14320150763</c:v>
                </c:pt>
                <c:pt idx="29">
                  <c:v>1646709.1174216233</c:v>
                </c:pt>
                <c:pt idx="31">
                  <c:v>0</c:v>
                </c:pt>
                <c:pt idx="33">
                  <c:v>0</c:v>
                </c:pt>
                <c:pt idx="35">
                  <c:v>0</c:v>
                </c:pt>
                <c:pt idx="37">
                  <c:v>0</c:v>
                </c:pt>
                <c:pt idx="39">
                  <c:v>1528743.7445088066</c:v>
                </c:pt>
                <c:pt idx="41">
                  <c:v>0</c:v>
                </c:pt>
                <c:pt idx="43">
                  <c:v>56572.197134994552</c:v>
                </c:pt>
                <c:pt idx="45">
                  <c:v>0</c:v>
                </c:pt>
                <c:pt idx="47">
                  <c:v>1127795.2032028362</c:v>
                </c:pt>
                <c:pt idx="49">
                  <c:v>1327708.2030348983</c:v>
                </c:pt>
                <c:pt idx="51">
                  <c:v>0</c:v>
                </c:pt>
                <c:pt idx="53">
                  <c:v>0</c:v>
                </c:pt>
                <c:pt idx="55">
                  <c:v>0</c:v>
                </c:pt>
                <c:pt idx="57">
                  <c:v>0</c:v>
                </c:pt>
                <c:pt idx="59">
                  <c:v>1112175.549461294</c:v>
                </c:pt>
                <c:pt idx="61">
                  <c:v>314972.68878107704</c:v>
                </c:pt>
                <c:pt idx="63">
                  <c:v>0</c:v>
                </c:pt>
                <c:pt idx="65">
                  <c:v>125188.74415074801</c:v>
                </c:pt>
                <c:pt idx="67">
                  <c:v>494301.49239726365</c:v>
                </c:pt>
                <c:pt idx="69">
                  <c:v>111592.49215743318</c:v>
                </c:pt>
                <c:pt idx="71">
                  <c:v>83397.401048936881</c:v>
                </c:pt>
                <c:pt idx="73">
                  <c:v>1166251.2946132747</c:v>
                </c:pt>
                <c:pt idx="75">
                  <c:v>1299166.2848545983</c:v>
                </c:pt>
                <c:pt idx="77">
                  <c:v>0</c:v>
                </c:pt>
                <c:pt idx="79">
                  <c:v>0</c:v>
                </c:pt>
                <c:pt idx="81">
                  <c:v>0</c:v>
                </c:pt>
                <c:pt idx="83">
                  <c:v>359417.96999999974</c:v>
                </c:pt>
                <c:pt idx="85">
                  <c:v>499573.26000000536</c:v>
                </c:pt>
                <c:pt idx="87">
                  <c:v>1429559.4499999993</c:v>
                </c:pt>
                <c:pt idx="89">
                  <c:v>6282203.6099999994</c:v>
                </c:pt>
                <c:pt idx="91">
                  <c:v>1005165.5300000003</c:v>
                </c:pt>
                <c:pt idx="93">
                  <c:v>378291.19999999925</c:v>
                </c:pt>
                <c:pt idx="95">
                  <c:v>0</c:v>
                </c:pt>
                <c:pt idx="97">
                  <c:v>243877.98000000045</c:v>
                </c:pt>
                <c:pt idx="99">
                  <c:v>1248798.5599999987</c:v>
                </c:pt>
                <c:pt idx="101">
                  <c:v>154947.26999999955</c:v>
                </c:pt>
                <c:pt idx="103">
                  <c:v>190676.40000000002</c:v>
                </c:pt>
                <c:pt idx="105">
                  <c:v>1303365.379999999</c:v>
                </c:pt>
                <c:pt idx="107">
                  <c:v>0</c:v>
                </c:pt>
                <c:pt idx="109">
                  <c:v>0</c:v>
                </c:pt>
                <c:pt idx="111">
                  <c:v>0</c:v>
                </c:pt>
                <c:pt idx="113">
                  <c:v>3838618.8500000015</c:v>
                </c:pt>
                <c:pt idx="115">
                  <c:v>1914551.3700000048</c:v>
                </c:pt>
                <c:pt idx="117">
                  <c:v>0</c:v>
                </c:pt>
                <c:pt idx="119">
                  <c:v>0</c:v>
                </c:pt>
                <c:pt idx="121">
                  <c:v>0</c:v>
                </c:pt>
                <c:pt idx="123">
                  <c:v>9636489.2699999958</c:v>
                </c:pt>
                <c:pt idx="125">
                  <c:v>0</c:v>
                </c:pt>
                <c:pt idx="127">
                  <c:v>706679.55999999866</c:v>
                </c:pt>
                <c:pt idx="129">
                  <c:v>0</c:v>
                </c:pt>
                <c:pt idx="131">
                  <c:v>0</c:v>
                </c:pt>
                <c:pt idx="133">
                  <c:v>0</c:v>
                </c:pt>
                <c:pt idx="135">
                  <c:v>0</c:v>
                </c:pt>
                <c:pt idx="137">
                  <c:v>1000554.5999999996</c:v>
                </c:pt>
                <c:pt idx="139">
                  <c:v>0</c:v>
                </c:pt>
                <c:pt idx="141">
                  <c:v>0</c:v>
                </c:pt>
                <c:pt idx="143">
                  <c:v>3926835.1199999973</c:v>
                </c:pt>
                <c:pt idx="145">
                  <c:v>0</c:v>
                </c:pt>
                <c:pt idx="147">
                  <c:v>1441697.0300000012</c:v>
                </c:pt>
                <c:pt idx="149">
                  <c:v>0</c:v>
                </c:pt>
                <c:pt idx="151">
                  <c:v>16759282.859999985</c:v>
                </c:pt>
                <c:pt idx="153">
                  <c:v>3663759.2600000054</c:v>
                </c:pt>
                <c:pt idx="155">
                  <c:v>18480055.763499975</c:v>
                </c:pt>
              </c:numCache>
            </c:numRef>
          </c:val>
        </c:ser>
        <c:ser>
          <c:idx val="5"/>
          <c:order val="5"/>
          <c:tx>
            <c:strRef>
              <c:f>Model!$AO$2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Model!$AO$3:$AO$158</c:f>
              <c:numCache>
                <c:formatCode>General</c:formatCode>
                <c:ptCount val="156"/>
                <c:pt idx="1">
                  <c:v>0</c:v>
                </c:pt>
                <c:pt idx="3">
                  <c:v>1996933.25</c:v>
                </c:pt>
                <c:pt idx="5">
                  <c:v>2080509.5</c:v>
                </c:pt>
                <c:pt idx="7">
                  <c:v>145092.5</c:v>
                </c:pt>
                <c:pt idx="9">
                  <c:v>2312442.4338995256</c:v>
                </c:pt>
                <c:pt idx="11">
                  <c:v>3814958.4215899333</c:v>
                </c:pt>
                <c:pt idx="13">
                  <c:v>6363653.5344882384</c:v>
                </c:pt>
                <c:pt idx="15">
                  <c:v>7841163.1457980424</c:v>
                </c:pt>
                <c:pt idx="17">
                  <c:v>2034809.9314344972</c:v>
                </c:pt>
                <c:pt idx="19">
                  <c:v>3489896.2994393744</c:v>
                </c:pt>
                <c:pt idx="21">
                  <c:v>0</c:v>
                </c:pt>
                <c:pt idx="23">
                  <c:v>0</c:v>
                </c:pt>
                <c:pt idx="25">
                  <c:v>2423120.7591076214</c:v>
                </c:pt>
                <c:pt idx="27">
                  <c:v>0</c:v>
                </c:pt>
                <c:pt idx="29">
                  <c:v>0</c:v>
                </c:pt>
                <c:pt idx="31">
                  <c:v>1108439.2947739493</c:v>
                </c:pt>
                <c:pt idx="33">
                  <c:v>893156.64442524407</c:v>
                </c:pt>
                <c:pt idx="35">
                  <c:v>560626.71672495455</c:v>
                </c:pt>
                <c:pt idx="37">
                  <c:v>1894401.372929547</c:v>
                </c:pt>
                <c:pt idx="39">
                  <c:v>0</c:v>
                </c:pt>
                <c:pt idx="41">
                  <c:v>3248180.0312938765</c:v>
                </c:pt>
                <c:pt idx="43">
                  <c:v>0</c:v>
                </c:pt>
                <c:pt idx="45">
                  <c:v>881996.66792966984</c:v>
                </c:pt>
                <c:pt idx="47">
                  <c:v>0</c:v>
                </c:pt>
                <c:pt idx="49">
                  <c:v>0</c:v>
                </c:pt>
                <c:pt idx="51">
                  <c:v>244492.23838001117</c:v>
                </c:pt>
                <c:pt idx="53">
                  <c:v>437896.82700031251</c:v>
                </c:pt>
                <c:pt idx="55">
                  <c:v>1389367.6782824025</c:v>
                </c:pt>
                <c:pt idx="57">
                  <c:v>3183530.0455403738</c:v>
                </c:pt>
                <c:pt idx="59">
                  <c:v>0</c:v>
                </c:pt>
                <c:pt idx="61">
                  <c:v>0</c:v>
                </c:pt>
                <c:pt idx="63">
                  <c:v>358362.65752157569</c:v>
                </c:pt>
                <c:pt idx="65">
                  <c:v>0</c:v>
                </c:pt>
                <c:pt idx="67">
                  <c:v>0</c:v>
                </c:pt>
                <c:pt idx="69">
                  <c:v>0</c:v>
                </c:pt>
                <c:pt idx="71">
                  <c:v>0</c:v>
                </c:pt>
                <c:pt idx="73">
                  <c:v>0</c:v>
                </c:pt>
                <c:pt idx="75">
                  <c:v>0</c:v>
                </c:pt>
                <c:pt idx="77">
                  <c:v>90227.463636806933</c:v>
                </c:pt>
                <c:pt idx="79">
                  <c:v>518075.65000000037</c:v>
                </c:pt>
                <c:pt idx="81">
                  <c:v>2842571.8599999994</c:v>
                </c:pt>
                <c:pt idx="83">
                  <c:v>0</c:v>
                </c:pt>
                <c:pt idx="85">
                  <c:v>0</c:v>
                </c:pt>
                <c:pt idx="87">
                  <c:v>0</c:v>
                </c:pt>
                <c:pt idx="89">
                  <c:v>0</c:v>
                </c:pt>
                <c:pt idx="91">
                  <c:v>0</c:v>
                </c:pt>
                <c:pt idx="93">
                  <c:v>0</c:v>
                </c:pt>
                <c:pt idx="95">
                  <c:v>926656.62000000104</c:v>
                </c:pt>
                <c:pt idx="97">
                  <c:v>0</c:v>
                </c:pt>
                <c:pt idx="99">
                  <c:v>0</c:v>
                </c:pt>
                <c:pt idx="101">
                  <c:v>0</c:v>
                </c:pt>
                <c:pt idx="103">
                  <c:v>0</c:v>
                </c:pt>
                <c:pt idx="105">
                  <c:v>0</c:v>
                </c:pt>
                <c:pt idx="107">
                  <c:v>1317300.1400000006</c:v>
                </c:pt>
                <c:pt idx="109">
                  <c:v>781517.14999999851</c:v>
                </c:pt>
                <c:pt idx="111">
                  <c:v>2498584.5100000016</c:v>
                </c:pt>
                <c:pt idx="113">
                  <c:v>0</c:v>
                </c:pt>
                <c:pt idx="115">
                  <c:v>0</c:v>
                </c:pt>
                <c:pt idx="117">
                  <c:v>1116920.1099999994</c:v>
                </c:pt>
                <c:pt idx="119">
                  <c:v>837663.80000000075</c:v>
                </c:pt>
                <c:pt idx="121">
                  <c:v>97335.309999998659</c:v>
                </c:pt>
                <c:pt idx="123">
                  <c:v>0</c:v>
                </c:pt>
                <c:pt idx="125">
                  <c:v>405750.8200000003</c:v>
                </c:pt>
                <c:pt idx="127">
                  <c:v>0</c:v>
                </c:pt>
                <c:pt idx="129">
                  <c:v>1064362.3000000007</c:v>
                </c:pt>
                <c:pt idx="131">
                  <c:v>789541.6799999997</c:v>
                </c:pt>
                <c:pt idx="133">
                  <c:v>2657877.5100000016</c:v>
                </c:pt>
                <c:pt idx="135">
                  <c:v>178737.39999999851</c:v>
                </c:pt>
                <c:pt idx="137">
                  <c:v>0</c:v>
                </c:pt>
                <c:pt idx="139">
                  <c:v>1200768.2699999996</c:v>
                </c:pt>
                <c:pt idx="141">
                  <c:v>378507.05999999866</c:v>
                </c:pt>
                <c:pt idx="143">
                  <c:v>0</c:v>
                </c:pt>
                <c:pt idx="145">
                  <c:v>6598127.6099999994</c:v>
                </c:pt>
                <c:pt idx="147">
                  <c:v>0</c:v>
                </c:pt>
                <c:pt idx="149">
                  <c:v>7243816.3900000006</c:v>
                </c:pt>
                <c:pt idx="151">
                  <c:v>0</c:v>
                </c:pt>
                <c:pt idx="153">
                  <c:v>0</c:v>
                </c:pt>
                <c:pt idx="1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84634752"/>
        <c:axId val="184640640"/>
      </c:barChart>
      <c:catAx>
        <c:axId val="184634752"/>
        <c:scaling>
          <c:orientation val="maxMin"/>
        </c:scaling>
        <c:delete val="0"/>
        <c:axPos val="l"/>
        <c:majorGridlines/>
        <c:majorTickMark val="out"/>
        <c:minorTickMark val="none"/>
        <c:tickLblPos val="none"/>
        <c:crossAx val="184640640"/>
        <c:crosses val="autoZero"/>
        <c:auto val="1"/>
        <c:lblAlgn val="ctr"/>
        <c:lblOffset val="100"/>
        <c:tickMarkSkip val="2"/>
        <c:noMultiLvlLbl val="0"/>
      </c:catAx>
      <c:valAx>
        <c:axId val="184640640"/>
        <c:scaling>
          <c:orientation val="minMax"/>
          <c:max val="1300000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184634752"/>
        <c:crosses val="max"/>
        <c:crossBetween val="between"/>
        <c:dispUnits>
          <c:builtInUnit val="million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85725</xdr:colOff>
      <xdr:row>49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34200" cy="933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0</xdr:row>
      <xdr:rowOff>0</xdr:rowOff>
    </xdr:from>
    <xdr:to>
      <xdr:col>9</xdr:col>
      <xdr:colOff>361950</xdr:colOff>
      <xdr:row>50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338138</xdr:colOff>
      <xdr:row>2</xdr:row>
      <xdr:rowOff>1</xdr:rowOff>
    </xdr:from>
    <xdr:to>
      <xdr:col>12</xdr:col>
      <xdr:colOff>90488</xdr:colOff>
      <xdr:row>50</xdr:row>
      <xdr:rowOff>57151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600076</xdr:colOff>
      <xdr:row>0</xdr:row>
      <xdr:rowOff>52388</xdr:rowOff>
    </xdr:from>
    <xdr:to>
      <xdr:col>15</xdr:col>
      <xdr:colOff>209550</xdr:colOff>
      <xdr:row>50</xdr:row>
      <xdr:rowOff>80964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0.08405</cdr:x>
      <cdr:y>0.01574</cdr:y>
    </cdr:from>
    <cdr:to>
      <cdr:x>0.11448</cdr:x>
      <cdr:y>0.02263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84135" y="157891"/>
          <a:ext cx="66665" cy="6910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NZ" sz="1100"/>
        </a:p>
      </cdr:txBody>
    </cdr:sp>
  </cdr:relSizeAnchor>
  <cdr:relSizeAnchor xmlns:cdr="http://schemas.openxmlformats.org/drawingml/2006/chartDrawing">
    <cdr:from>
      <cdr:x>0.11014</cdr:x>
      <cdr:y>0.00633</cdr:y>
    </cdr:from>
    <cdr:to>
      <cdr:x>0.46461</cdr:x>
      <cdr:y>0.03204</cdr:y>
    </cdr:to>
    <cdr:sp macro="" textlink="">
      <cdr:nvSpPr>
        <cdr:cNvPr id="3" name="TextBox 7"/>
        <cdr:cNvSpPr txBox="1"/>
      </cdr:nvSpPr>
      <cdr:spPr>
        <a:xfrm xmlns:a="http://schemas.openxmlformats.org/drawingml/2006/main">
          <a:off x="241285" y="63510"/>
          <a:ext cx="776555" cy="257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Local Share</a:t>
          </a:r>
        </a:p>
      </cdr:txBody>
    </cdr:sp>
  </cdr:relSizeAnchor>
  <cdr:relSizeAnchor xmlns:cdr="http://schemas.openxmlformats.org/drawingml/2006/chartDrawing">
    <cdr:from>
      <cdr:x>0.47536</cdr:x>
      <cdr:y>0.01574</cdr:y>
    </cdr:from>
    <cdr:to>
      <cdr:x>0.50579</cdr:x>
      <cdr:y>0.02263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041401" y="157891"/>
          <a:ext cx="66665" cy="69105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NZ" sz="1100"/>
        </a:p>
      </cdr:txBody>
    </cdr:sp>
  </cdr:relSizeAnchor>
  <cdr:relSizeAnchor xmlns:cdr="http://schemas.openxmlformats.org/drawingml/2006/chartDrawing">
    <cdr:from>
      <cdr:x>0.50797</cdr:x>
      <cdr:y>0.00633</cdr:y>
    </cdr:from>
    <cdr:to>
      <cdr:x>0.8087</cdr:x>
      <cdr:y>0.03204</cdr:y>
    </cdr:to>
    <cdr:sp macro="" textlink="">
      <cdr:nvSpPr>
        <cdr:cNvPr id="5" name="TextBox 7"/>
        <cdr:cNvSpPr txBox="1"/>
      </cdr:nvSpPr>
      <cdr:spPr>
        <a:xfrm xmlns:a="http://schemas.openxmlformats.org/drawingml/2006/main">
          <a:off x="1112837" y="63510"/>
          <a:ext cx="658813" cy="257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Increase</a:t>
          </a:r>
        </a:p>
      </cdr:txBody>
    </cdr:sp>
  </cdr:relSizeAnchor>
  <cdr:relSizeAnchor xmlns:cdr="http://schemas.openxmlformats.org/drawingml/2006/chartDrawing">
    <cdr:from>
      <cdr:x>0.47536</cdr:x>
      <cdr:y>0.03545</cdr:y>
    </cdr:from>
    <cdr:to>
      <cdr:x>0.50579</cdr:x>
      <cdr:y>0.04234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041401" y="355601"/>
          <a:ext cx="66665" cy="69105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NZ" sz="1100"/>
        </a:p>
      </cdr:txBody>
    </cdr:sp>
  </cdr:relSizeAnchor>
  <cdr:relSizeAnchor xmlns:cdr="http://schemas.openxmlformats.org/drawingml/2006/chartDrawing">
    <cdr:from>
      <cdr:x>0.50797</cdr:x>
      <cdr:y>0.02691</cdr:y>
    </cdr:from>
    <cdr:to>
      <cdr:x>0.8087</cdr:x>
      <cdr:y>0.05262</cdr:y>
    </cdr:to>
    <cdr:sp macro="" textlink="">
      <cdr:nvSpPr>
        <cdr:cNvPr id="7" name="TextBox 7"/>
        <cdr:cNvSpPr txBox="1"/>
      </cdr:nvSpPr>
      <cdr:spPr>
        <a:xfrm xmlns:a="http://schemas.openxmlformats.org/drawingml/2006/main">
          <a:off x="1112837" y="269875"/>
          <a:ext cx="658813" cy="257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Decrease</a:t>
          </a:r>
        </a:p>
      </cdr:txBody>
    </cdr:sp>
  </cdr:relSizeAnchor>
  <cdr:relSizeAnchor xmlns:cdr="http://schemas.openxmlformats.org/drawingml/2006/chartDrawing">
    <cdr:from>
      <cdr:x>0.08841</cdr:x>
      <cdr:y>0.03599</cdr:y>
    </cdr:from>
    <cdr:to>
      <cdr:x>0.11884</cdr:x>
      <cdr:y>0.04264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193675" y="360963"/>
          <a:ext cx="66675" cy="666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NZ" sz="1100"/>
        </a:p>
      </cdr:txBody>
    </cdr:sp>
  </cdr:relSizeAnchor>
  <cdr:relSizeAnchor xmlns:cdr="http://schemas.openxmlformats.org/drawingml/2006/chartDrawing">
    <cdr:from>
      <cdr:x>0.11014</cdr:x>
      <cdr:y>0.02596</cdr:y>
    </cdr:from>
    <cdr:to>
      <cdr:x>0.31227</cdr:x>
      <cdr:y>0.05077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41285" y="260350"/>
          <a:ext cx="442814" cy="248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NLTF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L2:L34"/>
  <sheetViews>
    <sheetView zoomScaleNormal="100" workbookViewId="0">
      <selection activeCell="L12" sqref="L12"/>
    </sheetView>
  </sheetViews>
  <sheetFormatPr defaultRowHeight="15" x14ac:dyDescent="0.2"/>
  <cols>
    <col min="1" max="10" width="9.140625" style="83"/>
    <col min="11" max="11" width="11.28515625" style="83" customWidth="1"/>
    <col min="12" max="12" width="47.42578125" style="83" bestFit="1" customWidth="1"/>
    <col min="13" max="16384" width="9.140625" style="83"/>
  </cols>
  <sheetData>
    <row r="2" spans="12:12" x14ac:dyDescent="0.2">
      <c r="L2" s="84" t="s">
        <v>148</v>
      </c>
    </row>
    <row r="3" spans="12:12" x14ac:dyDescent="0.2">
      <c r="L3" s="83" t="s">
        <v>149</v>
      </c>
    </row>
    <row r="4" spans="12:12" x14ac:dyDescent="0.2">
      <c r="L4" s="83" t="s">
        <v>150</v>
      </c>
    </row>
    <row r="5" spans="12:12" x14ac:dyDescent="0.2">
      <c r="L5" s="83" t="s">
        <v>164</v>
      </c>
    </row>
    <row r="6" spans="12:12" x14ac:dyDescent="0.2">
      <c r="L6" s="83" t="s">
        <v>151</v>
      </c>
    </row>
    <row r="7" spans="12:12" x14ac:dyDescent="0.2">
      <c r="L7" s="83" t="s">
        <v>166</v>
      </c>
    </row>
    <row r="29" spans="12:12" x14ac:dyDescent="0.2">
      <c r="L29" s="84" t="s">
        <v>155</v>
      </c>
    </row>
    <row r="30" spans="12:12" x14ac:dyDescent="0.2">
      <c r="L30" s="84" t="s">
        <v>165</v>
      </c>
    </row>
    <row r="31" spans="12:12" x14ac:dyDescent="0.2">
      <c r="L31" s="84" t="s">
        <v>154</v>
      </c>
    </row>
    <row r="32" spans="12:12" x14ac:dyDescent="0.2">
      <c r="L32" s="84" t="s">
        <v>124</v>
      </c>
    </row>
    <row r="33" spans="12:12" x14ac:dyDescent="0.2">
      <c r="L33" s="83" t="s">
        <v>156</v>
      </c>
    </row>
    <row r="34" spans="12:12" x14ac:dyDescent="0.2">
      <c r="L34" s="83" t="s">
        <v>157</v>
      </c>
    </row>
  </sheetData>
  <sheetProtection sheet="1" objects="1" scenarios="1"/>
  <hyperlinks>
    <hyperlink ref="L2" location="Inputs!C2:N82" display="Inputs"/>
    <hyperlink ref="L3" location="Inputs!C2:C81" display="Local road centreline kilometers"/>
    <hyperlink ref="L4" location="Inputs!D2:D81" display="Net equalised capital value"/>
    <hyperlink ref="L5" location="Inputs!F2:F81" display="Number of rating units"/>
    <hyperlink ref="L6" location="Inputs!F2:F81" display="Index of deprivation"/>
    <hyperlink ref="L29" location="Calculation!B12:B13" display="Maximum FAR"/>
    <hyperlink ref="L30" location="Calculation!B14" display="Overall national co-investment rate"/>
    <hyperlink ref="L31" location="Calculation!B15" display="Minimum FAR"/>
    <hyperlink ref="L32" location="Calculation!A19" display="Multiplier"/>
    <hyperlink ref="L33" location="Calculation!B24" display="Check difference"/>
    <hyperlink ref="L34" location="Calculation!B23" display="Adjust multiplier when outside tolerance"/>
    <hyperlink ref="L7" location="Inputs!G2:N82" display="Total cost of all activities for recent period"/>
  </hyperlinks>
  <pageMargins left="0.70866141732283472" right="0.70866141732283472" top="1.1811023622047245" bottom="0.74803149606299213" header="0.39370078740157483" footer="0.31496062992125984"/>
  <pageSetup paperSize="9" scale="84" orientation="portrait" r:id="rId1"/>
  <headerFooter>
    <oddHeader>&amp;L&amp;16&amp;F&amp;R&amp;G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82"/>
  <sheetViews>
    <sheetView showGridLines="0" tabSelected="1" zoomScaleNormal="100" workbookViewId="0">
      <selection activeCell="A28" sqref="A28"/>
    </sheetView>
  </sheetViews>
  <sheetFormatPr defaultRowHeight="15" x14ac:dyDescent="0.25"/>
  <cols>
    <col min="1" max="1" width="27.140625" style="46" customWidth="1"/>
    <col min="2" max="2" width="9.42578125" style="46" customWidth="1"/>
    <col min="3" max="3" width="9.42578125" style="46" bestFit="1" customWidth="1"/>
    <col min="4" max="4" width="9.42578125" style="46" customWidth="1"/>
    <col min="5" max="15" width="9.140625" style="46"/>
    <col min="16" max="16" width="28.5703125" style="46" bestFit="1" customWidth="1"/>
    <col min="17" max="16384" width="9.140625" style="46"/>
  </cols>
  <sheetData>
    <row r="1" spans="1:18" x14ac:dyDescent="0.25">
      <c r="A1" s="45" t="s">
        <v>147</v>
      </c>
      <c r="B1" s="45" t="s">
        <v>130</v>
      </c>
    </row>
    <row r="2" spans="1:18" x14ac:dyDescent="0.25">
      <c r="A2" s="47" t="s">
        <v>172</v>
      </c>
      <c r="B2" s="48"/>
    </row>
    <row r="3" spans="1:18" x14ac:dyDescent="0.25">
      <c r="H3" s="49"/>
      <c r="P3" s="50" t="str">
        <f>Model!AF2</f>
        <v>AO</v>
      </c>
      <c r="Q3" s="50" t="str">
        <f>Model!AG2</f>
        <v>Current</v>
      </c>
      <c r="R3" s="50" t="str">
        <f>Model!AH2</f>
        <v>Future</v>
      </c>
    </row>
    <row r="4" spans="1:18" x14ac:dyDescent="0.25">
      <c r="A4" s="53" t="s">
        <v>163</v>
      </c>
      <c r="B4" s="54" t="s">
        <v>79</v>
      </c>
      <c r="C4" s="55" t="s">
        <v>78</v>
      </c>
      <c r="D4" s="56"/>
      <c r="G4" s="46" t="s">
        <v>122</v>
      </c>
      <c r="I4" s="51"/>
      <c r="P4" s="50" t="str">
        <f>Model!AF3</f>
        <v>Chatham Islands Territory</v>
      </c>
      <c r="Q4" s="52">
        <f>Model!AG3</f>
        <v>0.89</v>
      </c>
      <c r="R4" s="52">
        <f>Model!AH3</f>
        <v>0.85</v>
      </c>
    </row>
    <row r="5" spans="1:18" x14ac:dyDescent="0.25">
      <c r="A5" s="88" t="str">
        <f>Inputs!C3</f>
        <v>Centreline KM</v>
      </c>
      <c r="B5" s="60">
        <f>Inputs!C2</f>
        <v>2014</v>
      </c>
      <c r="C5" s="61" t="str">
        <f>Inputs!C1</f>
        <v>NZ Transport Agency</v>
      </c>
      <c r="D5" s="58"/>
      <c r="G5" s="49" t="s">
        <v>121</v>
      </c>
      <c r="H5" s="46" t="s">
        <v>143</v>
      </c>
      <c r="I5" s="51"/>
      <c r="P5" s="50" t="str">
        <f>Model!AF4</f>
        <v>Wairoa District</v>
      </c>
      <c r="Q5" s="52">
        <f>Model!AG4</f>
        <v>0.68</v>
      </c>
      <c r="R5" s="52">
        <f>Model!AH4</f>
        <v>0.75</v>
      </c>
    </row>
    <row r="6" spans="1:18" x14ac:dyDescent="0.25">
      <c r="A6" s="88" t="str">
        <f>Inputs!D3</f>
        <v>Capital Value</v>
      </c>
      <c r="B6" s="60">
        <f>Inputs!D2</f>
        <v>2014</v>
      </c>
      <c r="C6" s="61" t="str">
        <f>Inputs!D1</f>
        <v>Quoteable Value</v>
      </c>
      <c r="D6" s="58"/>
      <c r="G6" s="49" t="s">
        <v>120</v>
      </c>
      <c r="H6" s="46" t="s">
        <v>144</v>
      </c>
      <c r="P6" s="50" t="str">
        <f>Model!AF5</f>
        <v>Opotiki District</v>
      </c>
      <c r="Q6" s="52">
        <f>Model!AG5</f>
        <v>0.51</v>
      </c>
      <c r="R6" s="52">
        <f>Model!AH5</f>
        <v>0.75</v>
      </c>
    </row>
    <row r="7" spans="1:18" x14ac:dyDescent="0.25">
      <c r="A7" s="88" t="str">
        <f>Inputs!E3</f>
        <v>Rateable Units</v>
      </c>
      <c r="B7" s="60">
        <f>Inputs!E2</f>
        <v>2014</v>
      </c>
      <c r="C7" s="61" t="str">
        <f>Inputs!E1</f>
        <v>Quoteable Value</v>
      </c>
      <c r="D7" s="58"/>
      <c r="H7" s="46" t="s">
        <v>145</v>
      </c>
      <c r="P7" s="50" t="str">
        <f>Model!AF6</f>
        <v>Kawerau District</v>
      </c>
      <c r="Q7" s="52">
        <f>Model!AG6</f>
        <v>0.67</v>
      </c>
      <c r="R7" s="52">
        <f>Model!AH6</f>
        <v>0.75</v>
      </c>
    </row>
    <row r="8" spans="1:18" x14ac:dyDescent="0.25">
      <c r="A8" s="88" t="str">
        <f>Inputs!F3</f>
        <v>NZ Index of Deprivation</v>
      </c>
      <c r="B8" s="87">
        <f>Inputs!F2</f>
        <v>2013</v>
      </c>
      <c r="C8" s="61" t="str">
        <f>Inputs!F1</f>
        <v>Ministry of Health</v>
      </c>
      <c r="D8" s="58"/>
      <c r="P8" s="50" t="str">
        <f>Model!AF7</f>
        <v>Ruapehu District</v>
      </c>
      <c r="Q8" s="52">
        <f>Model!AG7</f>
        <v>0.66</v>
      </c>
      <c r="R8" s="52">
        <f>Model!AH7</f>
        <v>0.72</v>
      </c>
    </row>
    <row r="9" spans="1:18" x14ac:dyDescent="0.25">
      <c r="A9" s="89" t="str">
        <f>Inputs!G1</f>
        <v>Recent NLTP</v>
      </c>
      <c r="B9" s="86" t="str">
        <f>Inputs!O2</f>
        <v>2009/13</v>
      </c>
      <c r="C9" s="63" t="s">
        <v>83</v>
      </c>
      <c r="D9" s="64"/>
      <c r="P9" s="50" t="str">
        <f>Model!AF8</f>
        <v>Waitomo District</v>
      </c>
      <c r="Q9" s="52">
        <f>Model!AG8</f>
        <v>0.59</v>
      </c>
      <c r="R9" s="52">
        <f>Model!AH8</f>
        <v>0.71</v>
      </c>
    </row>
    <row r="10" spans="1:18" x14ac:dyDescent="0.25">
      <c r="A10" s="57"/>
      <c r="B10" s="57"/>
      <c r="C10" s="57"/>
      <c r="D10" s="57"/>
      <c r="P10" s="50" t="str">
        <f>Model!AF9</f>
        <v>Gisborne District</v>
      </c>
      <c r="Q10" s="52">
        <f>Model!AG9</f>
        <v>0.6</v>
      </c>
      <c r="R10" s="52">
        <f>Model!AH9</f>
        <v>0.67</v>
      </c>
    </row>
    <row r="11" spans="1:18" x14ac:dyDescent="0.25">
      <c r="A11" s="53" t="s">
        <v>129</v>
      </c>
      <c r="B11" s="65"/>
      <c r="C11" s="61"/>
      <c r="D11" s="61"/>
      <c r="P11" s="50" t="str">
        <f>Model!AF10</f>
        <v>Far North District</v>
      </c>
      <c r="Q11" s="52">
        <f>Model!AG10</f>
        <v>0.57999999999999996</v>
      </c>
      <c r="R11" s="52">
        <f>Model!AH10</f>
        <v>0.66</v>
      </c>
    </row>
    <row r="12" spans="1:18" x14ac:dyDescent="0.25">
      <c r="A12" s="59" t="s">
        <v>159</v>
      </c>
      <c r="B12" s="78">
        <v>0.75</v>
      </c>
      <c r="C12" s="61"/>
      <c r="D12" s="61"/>
      <c r="P12" s="50" t="str">
        <f>Model!AF11</f>
        <v>Tararua District</v>
      </c>
      <c r="Q12" s="52">
        <f>Model!AG11</f>
        <v>0.61</v>
      </c>
      <c r="R12" s="52">
        <f>Model!AH11</f>
        <v>0.65</v>
      </c>
    </row>
    <row r="13" spans="1:18" x14ac:dyDescent="0.25">
      <c r="A13" s="59" t="s">
        <v>160</v>
      </c>
      <c r="B13" s="78">
        <v>0.85</v>
      </c>
      <c r="C13" s="61"/>
      <c r="D13" s="61"/>
      <c r="P13" s="50" t="str">
        <f>Model!AF12</f>
        <v>Gisborne District</v>
      </c>
      <c r="Q13" s="52">
        <f>Model!AG12</f>
        <v>0.55000000000000004</v>
      </c>
      <c r="R13" s="52">
        <f>Model!AH12</f>
        <v>0.64</v>
      </c>
    </row>
    <row r="14" spans="1:18" x14ac:dyDescent="0.25">
      <c r="A14" s="59" t="s">
        <v>158</v>
      </c>
      <c r="B14" s="78">
        <v>0.53</v>
      </c>
      <c r="C14" s="66" t="str">
        <f>IF(B12&lt;B14,"Maximum must be greater than overall","")</f>
        <v/>
      </c>
      <c r="D14" s="61"/>
      <c r="P14" s="50" t="str">
        <f>Model!AF13</f>
        <v>Buller District</v>
      </c>
      <c r="Q14" s="52">
        <f>Model!AG13</f>
        <v>0.66</v>
      </c>
      <c r="R14" s="52">
        <f>Model!AH13</f>
        <v>0.63</v>
      </c>
    </row>
    <row r="15" spans="1:18" x14ac:dyDescent="0.25">
      <c r="A15" s="62" t="s">
        <v>91</v>
      </c>
      <c r="B15" s="78">
        <v>0.51</v>
      </c>
      <c r="C15" s="66" t="str">
        <f>IF(B14&lt;B15,"Overall must be greater than core","")</f>
        <v/>
      </c>
      <c r="D15" s="67"/>
      <c r="P15" s="50" t="str">
        <f>Model!AF14</f>
        <v>Rangitikei District</v>
      </c>
      <c r="Q15" s="52">
        <f>Model!AG14</f>
        <v>0.63</v>
      </c>
      <c r="R15" s="52">
        <f>Model!AH14</f>
        <v>0.63</v>
      </c>
    </row>
    <row r="16" spans="1:18" x14ac:dyDescent="0.25">
      <c r="C16" s="61"/>
      <c r="D16" s="61"/>
      <c r="P16" s="50" t="str">
        <f>Model!AF15</f>
        <v>South Waikato District</v>
      </c>
      <c r="Q16" s="52">
        <f>Model!AG15</f>
        <v>0.5</v>
      </c>
      <c r="R16" s="52">
        <f>Model!AH15</f>
        <v>0.62</v>
      </c>
    </row>
    <row r="17" spans="1:18" x14ac:dyDescent="0.25">
      <c r="P17" s="50" t="str">
        <f>Model!AF16</f>
        <v>Kaipara District</v>
      </c>
      <c r="Q17" s="52">
        <f>Model!AG16</f>
        <v>0.61</v>
      </c>
      <c r="R17" s="52">
        <f>Model!AH16</f>
        <v>0.61</v>
      </c>
    </row>
    <row r="18" spans="1:18" x14ac:dyDescent="0.25">
      <c r="A18" s="90" t="s">
        <v>168</v>
      </c>
      <c r="P18" s="50" t="str">
        <f>Model!AF17</f>
        <v>Wanganui District</v>
      </c>
      <c r="Q18" s="52">
        <f>Model!AG17</f>
        <v>0.64</v>
      </c>
      <c r="R18" s="52">
        <f>Model!AH17</f>
        <v>0.6</v>
      </c>
    </row>
    <row r="19" spans="1:18" x14ac:dyDescent="0.25">
      <c r="A19" s="91" t="s">
        <v>170</v>
      </c>
      <c r="P19" s="50" t="str">
        <f>Model!AF18</f>
        <v>Hauraki District</v>
      </c>
      <c r="Q19" s="52">
        <f>Model!AG18</f>
        <v>0.54</v>
      </c>
      <c r="R19" s="52">
        <f>Model!AH18</f>
        <v>0.6</v>
      </c>
    </row>
    <row r="20" spans="1:18" x14ac:dyDescent="0.25">
      <c r="A20" s="68" t="s">
        <v>171</v>
      </c>
      <c r="P20" s="50" t="str">
        <f>Model!AF19</f>
        <v>Waimate District</v>
      </c>
      <c r="Q20" s="52">
        <f>Model!AG19</f>
        <v>0.52</v>
      </c>
      <c r="R20" s="52">
        <f>Model!AH19</f>
        <v>0.6</v>
      </c>
    </row>
    <row r="21" spans="1:18" x14ac:dyDescent="0.25">
      <c r="P21" s="50" t="str">
        <f>Model!AF20</f>
        <v>Central Hawke's Bay District</v>
      </c>
      <c r="Q21" s="52">
        <f>Model!AG20</f>
        <v>0.57999999999999996</v>
      </c>
      <c r="R21" s="52">
        <f>Model!AH20</f>
        <v>0.6</v>
      </c>
    </row>
    <row r="22" spans="1:18" x14ac:dyDescent="0.25">
      <c r="B22" s="69"/>
      <c r="P22" s="50" t="str">
        <f>Model!AF21</f>
        <v>Horowhenua District</v>
      </c>
      <c r="Q22" s="52">
        <f>Model!AG21</f>
        <v>0.48</v>
      </c>
      <c r="R22" s="52">
        <f>Model!AH21</f>
        <v>0.59</v>
      </c>
    </row>
    <row r="23" spans="1:18" x14ac:dyDescent="0.25">
      <c r="A23" s="70" t="s">
        <v>161</v>
      </c>
      <c r="B23" s="79">
        <v>6.8250000000000005E-2</v>
      </c>
      <c r="P23" s="50" t="str">
        <f>Model!AF22</f>
        <v>Clutha District</v>
      </c>
      <c r="Q23" s="52">
        <f>Model!AG22</f>
        <v>0.61</v>
      </c>
      <c r="R23" s="52">
        <f>Model!AH22</f>
        <v>0.59</v>
      </c>
    </row>
    <row r="24" spans="1:18" x14ac:dyDescent="0.25">
      <c r="A24" s="71" t="s">
        <v>162</v>
      </c>
      <c r="B24" s="72">
        <f>Model!R19</f>
        <v>-4.2273210811738515E-5</v>
      </c>
      <c r="E24" s="46" t="s">
        <v>127</v>
      </c>
      <c r="P24" s="50" t="str">
        <f>Model!AF23</f>
        <v>South Taranaki District</v>
      </c>
      <c r="Q24" s="52">
        <f>Model!AG23</f>
        <v>0.51</v>
      </c>
      <c r="R24" s="52">
        <f>Model!AH23</f>
        <v>0.57999999999999996</v>
      </c>
    </row>
    <row r="25" spans="1:18" ht="15" customHeight="1" x14ac:dyDescent="0.25">
      <c r="A25" s="73"/>
      <c r="B25" s="74" t="str">
        <f>IF(ABS(Model!R19)&gt;0.01%,"Outside tolerance","Within tolerance")</f>
        <v>Within tolerance</v>
      </c>
      <c r="E25" s="46">
        <f>MATCH(A31,Inputs!B4:B82,0)</f>
        <v>79</v>
      </c>
      <c r="P25" s="50" t="str">
        <f>Model!AF24</f>
        <v>West Coast Regional</v>
      </c>
      <c r="Q25" s="52">
        <f>Model!AG24</f>
        <v>0.67</v>
      </c>
      <c r="R25" s="52">
        <f>Model!AH24</f>
        <v>0.57999999999999996</v>
      </c>
    </row>
    <row r="26" spans="1:18" x14ac:dyDescent="0.25">
      <c r="E26" s="46">
        <f ca="1">MATCH(OFFSET(Inputs!A3,E25,0),Model!B3:B81,0)</f>
        <v>79</v>
      </c>
      <c r="P26" s="50" t="str">
        <f>Model!AF25</f>
        <v>Otorohanga District</v>
      </c>
      <c r="Q26" s="52">
        <f>Model!AG25</f>
        <v>0.53</v>
      </c>
      <c r="R26" s="52">
        <f>Model!AH25</f>
        <v>0.57999999999999996</v>
      </c>
    </row>
    <row r="27" spans="1:18" x14ac:dyDescent="0.25">
      <c r="A27" s="75"/>
      <c r="B27" s="57"/>
      <c r="C27" s="57"/>
      <c r="D27" s="57"/>
      <c r="P27" s="50" t="str">
        <f>Model!AF26</f>
        <v>Westland District</v>
      </c>
      <c r="Q27" s="52">
        <f>Model!AG26</f>
        <v>0.66</v>
      </c>
      <c r="R27" s="52">
        <f>Model!AH26</f>
        <v>0.57999999999999996</v>
      </c>
    </row>
    <row r="28" spans="1:18" x14ac:dyDescent="0.25">
      <c r="A28" s="105" t="s">
        <v>173</v>
      </c>
      <c r="B28" s="57"/>
      <c r="C28" s="57"/>
      <c r="D28" s="77"/>
      <c r="P28" s="50" t="str">
        <f>Model!AF27</f>
        <v>Grey District</v>
      </c>
      <c r="Q28" s="52">
        <f>Model!AG27</f>
        <v>0.64</v>
      </c>
      <c r="R28" s="52">
        <f>Model!AH27</f>
        <v>0.56999999999999995</v>
      </c>
    </row>
    <row r="29" spans="1:18" x14ac:dyDescent="0.25">
      <c r="A29" s="76"/>
      <c r="B29" s="57"/>
      <c r="C29" s="57"/>
      <c r="D29" s="77"/>
      <c r="P29" s="50" t="str">
        <f>Model!AF28</f>
        <v>Masterton District</v>
      </c>
      <c r="Q29" s="52">
        <f>Model!AG28</f>
        <v>0.56000000000000005</v>
      </c>
      <c r="R29" s="52">
        <f>Model!AH28</f>
        <v>0.56999999999999995</v>
      </c>
    </row>
    <row r="30" spans="1:18" x14ac:dyDescent="0.25">
      <c r="A30" s="98" t="s">
        <v>125</v>
      </c>
      <c r="B30" s="99"/>
      <c r="C30" s="100" t="s">
        <v>126</v>
      </c>
      <c r="D30" s="101" t="s">
        <v>112</v>
      </c>
      <c r="P30" s="50" t="str">
        <f>Model!AF29</f>
        <v>Stratford District</v>
      </c>
      <c r="Q30" s="52">
        <f>Model!AG29</f>
        <v>0.54</v>
      </c>
      <c r="R30" s="52">
        <f>Model!AH29</f>
        <v>0.56999999999999995</v>
      </c>
    </row>
    <row r="31" spans="1:18" x14ac:dyDescent="0.25">
      <c r="A31" s="104" t="s">
        <v>128</v>
      </c>
      <c r="B31" s="86"/>
      <c r="C31" s="102">
        <f ca="1">ROUND(OFFSET(Model!T2,E26,0),2)</f>
        <v>0.53</v>
      </c>
      <c r="D31" s="103">
        <f ca="1">ROUND(OFFSET(Model!S2,E26,0),2)</f>
        <v>0.53</v>
      </c>
      <c r="P31" s="50" t="str">
        <f>Model!AF30</f>
        <v>Porirua City</v>
      </c>
      <c r="Q31" s="52">
        <f>Model!AG30</f>
        <v>0.47</v>
      </c>
      <c r="R31" s="52">
        <f>Model!AH30</f>
        <v>0.56000000000000005</v>
      </c>
    </row>
    <row r="32" spans="1:18" x14ac:dyDescent="0.25">
      <c r="C32" s="57"/>
      <c r="D32" s="57"/>
      <c r="P32" s="50" t="str">
        <f>Model!AF31</f>
        <v>Rotorua District</v>
      </c>
      <c r="Q32" s="52">
        <f>Model!AG31</f>
        <v>0.49</v>
      </c>
      <c r="R32" s="52">
        <f>Model!AH31</f>
        <v>0.55000000000000004</v>
      </c>
    </row>
    <row r="33" spans="1:18" x14ac:dyDescent="0.25">
      <c r="C33" s="57"/>
      <c r="D33" s="57"/>
      <c r="P33" s="50" t="str">
        <f>Model!AF32</f>
        <v>Waitaki District</v>
      </c>
      <c r="Q33" s="52">
        <f>Model!AG32</f>
        <v>0.57999999999999996</v>
      </c>
      <c r="R33" s="52">
        <f>Model!AH32</f>
        <v>0.55000000000000004</v>
      </c>
    </row>
    <row r="34" spans="1:18" x14ac:dyDescent="0.25">
      <c r="B34" s="57"/>
      <c r="C34" s="57"/>
      <c r="D34" s="57"/>
      <c r="P34" s="50" t="str">
        <f>Model!AF33</f>
        <v>Gore District</v>
      </c>
      <c r="Q34" s="52">
        <f>Model!AG33</f>
        <v>0.56999999999999995</v>
      </c>
      <c r="R34" s="52">
        <f>Model!AH33</f>
        <v>0.54</v>
      </c>
    </row>
    <row r="35" spans="1:18" x14ac:dyDescent="0.25">
      <c r="B35" s="57"/>
      <c r="C35" s="57"/>
      <c r="D35" s="57"/>
      <c r="P35" s="50" t="str">
        <f>Model!AF34</f>
        <v>Hastings District</v>
      </c>
      <c r="Q35" s="52">
        <f>Model!AG34</f>
        <v>0.53</v>
      </c>
      <c r="R35" s="52">
        <f>Model!AH34</f>
        <v>0.54</v>
      </c>
    </row>
    <row r="36" spans="1:18" x14ac:dyDescent="0.25">
      <c r="A36" s="57"/>
      <c r="B36" s="57"/>
      <c r="C36" s="57"/>
      <c r="D36" s="57"/>
      <c r="P36" s="50" t="str">
        <f>Model!AF35</f>
        <v>Northland Regional</v>
      </c>
      <c r="Q36" s="52">
        <f>Model!AG35</f>
        <v>0.56000000000000005</v>
      </c>
      <c r="R36" s="52">
        <f>Model!AH35</f>
        <v>0.54</v>
      </c>
    </row>
    <row r="37" spans="1:18" x14ac:dyDescent="0.25">
      <c r="A37" s="57"/>
      <c r="B37" s="57"/>
      <c r="C37" s="57"/>
      <c r="D37" s="57"/>
      <c r="P37" s="50" t="str">
        <f>Model!AF36</f>
        <v>Whangarei District</v>
      </c>
      <c r="Q37" s="52">
        <f>Model!AG36</f>
        <v>0.53</v>
      </c>
      <c r="R37" s="52">
        <f>Model!AH36</f>
        <v>0.53</v>
      </c>
    </row>
    <row r="38" spans="1:18" x14ac:dyDescent="0.25">
      <c r="P38" s="50" t="str">
        <f>Model!AF37</f>
        <v>Manawatu District</v>
      </c>
      <c r="Q38" s="52">
        <f>Model!AG37</f>
        <v>0.53</v>
      </c>
      <c r="R38" s="52">
        <f>Model!AH37</f>
        <v>0.53</v>
      </c>
    </row>
    <row r="39" spans="1:18" ht="15" customHeight="1" x14ac:dyDescent="0.25">
      <c r="P39" s="50" t="str">
        <f>Model!AF38</f>
        <v>Carterton District</v>
      </c>
      <c r="Q39" s="52">
        <f>Model!AG38</f>
        <v>0.53</v>
      </c>
      <c r="R39" s="52">
        <f>Model!AH38</f>
        <v>0.53</v>
      </c>
    </row>
    <row r="40" spans="1:18" x14ac:dyDescent="0.25">
      <c r="P40" s="50" t="str">
        <f>Model!AF39</f>
        <v>South Wairarapa District</v>
      </c>
      <c r="Q40" s="52">
        <f>Model!AG39</f>
        <v>0.6</v>
      </c>
      <c r="R40" s="52">
        <f>Model!AH39</f>
        <v>0.52</v>
      </c>
    </row>
    <row r="41" spans="1:18" x14ac:dyDescent="0.25">
      <c r="P41" s="50" t="str">
        <f>Model!AF40</f>
        <v>Waikato District</v>
      </c>
      <c r="Q41" s="52">
        <f>Model!AG40</f>
        <v>0.53</v>
      </c>
      <c r="R41" s="52">
        <f>Model!AH40</f>
        <v>0.52</v>
      </c>
    </row>
    <row r="42" spans="1:18" x14ac:dyDescent="0.25">
      <c r="P42" s="50" t="str">
        <f>Model!AF41</f>
        <v>Kaikoura District</v>
      </c>
      <c r="Q42" s="52">
        <f>Model!AG41</f>
        <v>0.48</v>
      </c>
      <c r="R42" s="52">
        <f>Model!AH41</f>
        <v>0.51</v>
      </c>
    </row>
    <row r="43" spans="1:18" x14ac:dyDescent="0.25">
      <c r="P43" s="50" t="str">
        <f>Model!AF42</f>
        <v>Napier City</v>
      </c>
      <c r="Q43" s="52">
        <f>Model!AG42</f>
        <v>0.49</v>
      </c>
      <c r="R43" s="52">
        <f>Model!AH42</f>
        <v>0.51</v>
      </c>
    </row>
    <row r="44" spans="1:18" x14ac:dyDescent="0.25">
      <c r="P44" s="50" t="str">
        <f>Model!AF43</f>
        <v>Thames-Coromandel District</v>
      </c>
      <c r="Q44" s="52">
        <f>Model!AG43</f>
        <v>0.44</v>
      </c>
      <c r="R44" s="52">
        <f>Model!AH43</f>
        <v>0.51</v>
      </c>
    </row>
    <row r="45" spans="1:18" x14ac:dyDescent="0.25">
      <c r="P45" s="50" t="str">
        <f>Model!AF44</f>
        <v>Mackenzie District</v>
      </c>
      <c r="Q45" s="52">
        <f>Model!AG44</f>
        <v>0.55000000000000004</v>
      </c>
      <c r="R45" s="52">
        <f>Model!AH44</f>
        <v>0.51</v>
      </c>
    </row>
    <row r="46" spans="1:18" x14ac:dyDescent="0.25">
      <c r="P46" s="50" t="str">
        <f>Model!AF45</f>
        <v>Taupo District</v>
      </c>
      <c r="Q46" s="52">
        <f>Model!AG45</f>
        <v>0.51</v>
      </c>
      <c r="R46" s="52">
        <f>Model!AH45</f>
        <v>0.51</v>
      </c>
    </row>
    <row r="47" spans="1:18" x14ac:dyDescent="0.25">
      <c r="P47" s="50" t="str">
        <f>Model!AF46</f>
        <v>Manawatu-Wanganui Regional</v>
      </c>
      <c r="Q47" s="52">
        <f>Model!AG46</f>
        <v>0.57999999999999996</v>
      </c>
      <c r="R47" s="52">
        <f>Model!AH46</f>
        <v>0.51</v>
      </c>
    </row>
    <row r="48" spans="1:18" x14ac:dyDescent="0.25">
      <c r="P48" s="50" t="str">
        <f>Model!AF47</f>
        <v>Invercargill City</v>
      </c>
      <c r="Q48" s="52">
        <f>Model!AG47</f>
        <v>0.64</v>
      </c>
      <c r="R48" s="52">
        <f>Model!AH47</f>
        <v>0.51</v>
      </c>
    </row>
    <row r="49" spans="16:18" x14ac:dyDescent="0.25">
      <c r="P49" s="50" t="str">
        <f>Model!AF48</f>
        <v>Hawkes Bay Regional</v>
      </c>
      <c r="Q49" s="52">
        <f>Model!AG48</f>
        <v>0.57999999999999996</v>
      </c>
      <c r="R49" s="52">
        <f>Model!AH48</f>
        <v>0.51</v>
      </c>
    </row>
    <row r="50" spans="16:18" x14ac:dyDescent="0.25">
      <c r="P50" s="50" t="str">
        <f>Model!AF49</f>
        <v>Hurunui District</v>
      </c>
      <c r="Q50" s="52">
        <f>Model!AG49</f>
        <v>0.52</v>
      </c>
      <c r="R50" s="52">
        <f>Model!AH49</f>
        <v>0.51</v>
      </c>
    </row>
    <row r="51" spans="16:18" x14ac:dyDescent="0.25">
      <c r="P51" s="50" t="str">
        <f>Model!AF50</f>
        <v>Matamata-Piako District</v>
      </c>
      <c r="Q51" s="52">
        <f>Model!AG50</f>
        <v>0.49</v>
      </c>
      <c r="R51" s="52">
        <f>Model!AH50</f>
        <v>0.51</v>
      </c>
    </row>
    <row r="52" spans="16:18" x14ac:dyDescent="0.25">
      <c r="P52" s="50" t="str">
        <f>Model!AF51</f>
        <v>Central Otago District</v>
      </c>
      <c r="Q52" s="52">
        <f>Model!AG51</f>
        <v>0.52</v>
      </c>
      <c r="R52" s="52">
        <f>Model!AH51</f>
        <v>0.51</v>
      </c>
    </row>
    <row r="53" spans="16:18" x14ac:dyDescent="0.25">
      <c r="P53" s="50" t="str">
        <f>Model!AF52</f>
        <v>Timaru District</v>
      </c>
      <c r="Q53" s="52">
        <f>Model!AG52</f>
        <v>0.54</v>
      </c>
      <c r="R53" s="52">
        <f>Model!AH52</f>
        <v>0.51</v>
      </c>
    </row>
    <row r="54" spans="16:18" x14ac:dyDescent="0.25">
      <c r="P54" s="50" t="str">
        <f>Model!AF53</f>
        <v>Taranaki Regional</v>
      </c>
      <c r="Q54" s="52">
        <f>Model!AG53</f>
        <v>0.53</v>
      </c>
      <c r="R54" s="52">
        <f>Model!AH53</f>
        <v>0.51</v>
      </c>
    </row>
    <row r="55" spans="16:18" x14ac:dyDescent="0.25">
      <c r="P55" s="50" t="str">
        <f>Model!AF54</f>
        <v>Southland Regional</v>
      </c>
      <c r="Q55" s="52">
        <f>Model!AG54</f>
        <v>0.82</v>
      </c>
      <c r="R55" s="52">
        <f>Model!AH54</f>
        <v>0.51</v>
      </c>
    </row>
    <row r="56" spans="16:18" x14ac:dyDescent="0.25">
      <c r="P56" s="50" t="str">
        <f>Model!AF55</f>
        <v>New Plymouth District</v>
      </c>
      <c r="Q56" s="52">
        <f>Model!AG55</f>
        <v>0.53</v>
      </c>
      <c r="R56" s="52">
        <f>Model!AH55</f>
        <v>0.51</v>
      </c>
    </row>
    <row r="57" spans="16:18" x14ac:dyDescent="0.25">
      <c r="P57" s="50" t="str">
        <f>Model!AF56</f>
        <v>Lower Hutt City</v>
      </c>
      <c r="Q57" s="52">
        <f>Model!AG56</f>
        <v>0.49</v>
      </c>
      <c r="R57" s="52">
        <f>Model!AH56</f>
        <v>0.51</v>
      </c>
    </row>
    <row r="58" spans="16:18" x14ac:dyDescent="0.25">
      <c r="P58" s="50" t="str">
        <f>Model!AF57</f>
        <v>Palmerston North City</v>
      </c>
      <c r="Q58" s="52">
        <f>Model!AG57</f>
        <v>0.49</v>
      </c>
      <c r="R58" s="52">
        <f>Model!AH57</f>
        <v>0.51</v>
      </c>
    </row>
    <row r="59" spans="16:18" x14ac:dyDescent="0.25">
      <c r="P59" s="50" t="str">
        <f>Model!AF58</f>
        <v>Western Bay of Plenty District</v>
      </c>
      <c r="Q59" s="52">
        <f>Model!AG58</f>
        <v>0.46</v>
      </c>
      <c r="R59" s="52">
        <f>Model!AH58</f>
        <v>0.51</v>
      </c>
    </row>
    <row r="60" spans="16:18" x14ac:dyDescent="0.25">
      <c r="P60" s="50" t="str">
        <f>Model!AF59</f>
        <v>Southland District</v>
      </c>
      <c r="Q60" s="52">
        <f>Model!AG59</f>
        <v>0.55000000000000004</v>
      </c>
      <c r="R60" s="52">
        <f>Model!AH59</f>
        <v>0.51</v>
      </c>
    </row>
    <row r="61" spans="16:18" x14ac:dyDescent="0.25">
      <c r="P61" s="50" t="str">
        <f>Model!AF60</f>
        <v>Hamilton City</v>
      </c>
      <c r="Q61" s="52">
        <f>Model!AG60</f>
        <v>0.52</v>
      </c>
      <c r="R61" s="52">
        <f>Model!AH60</f>
        <v>0.51</v>
      </c>
    </row>
    <row r="62" spans="16:18" x14ac:dyDescent="0.25">
      <c r="P62" s="50" t="str">
        <f>Model!AF61</f>
        <v>Ashburton District</v>
      </c>
      <c r="Q62" s="52">
        <f>Model!AG61</f>
        <v>0.48</v>
      </c>
      <c r="R62" s="52">
        <f>Model!AH61</f>
        <v>0.51</v>
      </c>
    </row>
    <row r="63" spans="16:18" x14ac:dyDescent="0.25">
      <c r="P63" s="50" t="str">
        <f>Model!AF62</f>
        <v>Nelson City</v>
      </c>
      <c r="Q63" s="52">
        <f>Model!AG62</f>
        <v>0.48</v>
      </c>
      <c r="R63" s="52">
        <f>Model!AH62</f>
        <v>0.51</v>
      </c>
    </row>
    <row r="64" spans="16:18" x14ac:dyDescent="0.25">
      <c r="P64" s="50" t="str">
        <f>Model!AF63</f>
        <v>Tasman District</v>
      </c>
      <c r="Q64" s="52">
        <f>Model!AG63</f>
        <v>0.51</v>
      </c>
      <c r="R64" s="52">
        <f>Model!AH63</f>
        <v>0.51</v>
      </c>
    </row>
    <row r="65" spans="16:18" x14ac:dyDescent="0.25">
      <c r="P65" s="50" t="str">
        <f>Model!AF64</f>
        <v>Dunedin City</v>
      </c>
      <c r="Q65" s="52">
        <f>Model!AG64</f>
        <v>0.59</v>
      </c>
      <c r="R65" s="52">
        <f>Model!AH64</f>
        <v>0.51</v>
      </c>
    </row>
    <row r="66" spans="16:18" x14ac:dyDescent="0.25">
      <c r="P66" s="50" t="str">
        <f>Model!AF65</f>
        <v>Upper Hutt City</v>
      </c>
      <c r="Q66" s="52">
        <f>Model!AG65</f>
        <v>0.49</v>
      </c>
      <c r="R66" s="52">
        <f>Model!AH65</f>
        <v>0.51</v>
      </c>
    </row>
    <row r="67" spans="16:18" x14ac:dyDescent="0.25">
      <c r="P67" s="50" t="str">
        <f>Model!AF66</f>
        <v>Bay of Plenty Regional</v>
      </c>
      <c r="Q67" s="52">
        <f>Model!AG66</f>
        <v>0.53</v>
      </c>
      <c r="R67" s="52">
        <f>Model!AH66</f>
        <v>0.51</v>
      </c>
    </row>
    <row r="68" spans="16:18" x14ac:dyDescent="0.25">
      <c r="P68" s="50" t="str">
        <f>Model!AF67</f>
        <v>Marlborough District</v>
      </c>
      <c r="Q68" s="52">
        <f>Model!AG67</f>
        <v>0.49</v>
      </c>
      <c r="R68" s="52">
        <f>Model!AH67</f>
        <v>0.51</v>
      </c>
    </row>
    <row r="69" spans="16:18" x14ac:dyDescent="0.25">
      <c r="P69" s="50" t="str">
        <f>Model!AF68</f>
        <v>Waipa District</v>
      </c>
      <c r="Q69" s="52">
        <f>Model!AG68</f>
        <v>0.49</v>
      </c>
      <c r="R69" s="52">
        <f>Model!AH68</f>
        <v>0.51</v>
      </c>
    </row>
    <row r="70" spans="16:18" x14ac:dyDescent="0.25">
      <c r="P70" s="50" t="str">
        <f>Model!AF69</f>
        <v>Tauranga City</v>
      </c>
      <c r="Q70" s="52">
        <f>Model!AG69</f>
        <v>0.47</v>
      </c>
      <c r="R70" s="52">
        <f>Model!AH69</f>
        <v>0.51</v>
      </c>
    </row>
    <row r="71" spans="16:18" x14ac:dyDescent="0.25">
      <c r="P71" s="50" t="str">
        <f>Model!AF70</f>
        <v>Waimakariri District</v>
      </c>
      <c r="Q71" s="52">
        <f>Model!AG70</f>
        <v>0.5</v>
      </c>
      <c r="R71" s="52">
        <f>Model!AH70</f>
        <v>0.51</v>
      </c>
    </row>
    <row r="72" spans="16:18" x14ac:dyDescent="0.25">
      <c r="P72" s="50" t="str">
        <f>Model!AF71</f>
        <v>Otago Regional</v>
      </c>
      <c r="Q72" s="52">
        <f>Model!AG71</f>
        <v>0.54</v>
      </c>
      <c r="R72" s="52">
        <f>Model!AH71</f>
        <v>0.51</v>
      </c>
    </row>
    <row r="73" spans="16:18" x14ac:dyDescent="0.25">
      <c r="P73" s="50" t="str">
        <f>Model!AF72</f>
        <v>Kapiti Coast District</v>
      </c>
      <c r="Q73" s="52">
        <f>Model!AG72</f>
        <v>0.46</v>
      </c>
      <c r="R73" s="52">
        <f>Model!AH72</f>
        <v>0.51</v>
      </c>
    </row>
    <row r="74" spans="16:18" x14ac:dyDescent="0.25">
      <c r="P74" s="50" t="str">
        <f>Model!AF73</f>
        <v>Selwyn District</v>
      </c>
      <c r="Q74" s="52">
        <f>Model!AG73</f>
        <v>0.5</v>
      </c>
      <c r="R74" s="52">
        <f>Model!AH73</f>
        <v>0.51</v>
      </c>
    </row>
    <row r="75" spans="16:18" x14ac:dyDescent="0.25">
      <c r="P75" s="50" t="str">
        <f>Model!AF74</f>
        <v>Queenstown-Lakes District</v>
      </c>
      <c r="Q75" s="52">
        <f>Model!AG74</f>
        <v>0.56000000000000005</v>
      </c>
      <c r="R75" s="52">
        <f>Model!AH74</f>
        <v>0.51</v>
      </c>
    </row>
    <row r="76" spans="16:18" x14ac:dyDescent="0.25">
      <c r="P76" s="50" t="str">
        <f>Model!AF75</f>
        <v>Wellington City</v>
      </c>
      <c r="Q76" s="52">
        <f>Model!AG75</f>
        <v>0.46</v>
      </c>
      <c r="R76" s="52">
        <f>Model!AH75</f>
        <v>0.51</v>
      </c>
    </row>
    <row r="77" spans="16:18" x14ac:dyDescent="0.25">
      <c r="P77" s="50" t="str">
        <f>Model!AF76</f>
        <v>Waikato Regional</v>
      </c>
      <c r="Q77" s="52">
        <f>Model!AG76</f>
        <v>0.53</v>
      </c>
      <c r="R77" s="52">
        <f>Model!AH76</f>
        <v>0.51</v>
      </c>
    </row>
    <row r="78" spans="16:18" x14ac:dyDescent="0.25">
      <c r="P78" s="50" t="str">
        <f>Model!AF77</f>
        <v>Christchurch City</v>
      </c>
      <c r="Q78" s="52">
        <f>Model!AG77</f>
        <v>0.47</v>
      </c>
      <c r="R78" s="52">
        <f>Model!AH77</f>
        <v>0.51</v>
      </c>
    </row>
    <row r="79" spans="16:18" x14ac:dyDescent="0.25">
      <c r="P79" s="50" t="str">
        <f>Model!AF78</f>
        <v>Wellington Regional</v>
      </c>
      <c r="Q79" s="52">
        <f>Model!AG78</f>
        <v>0.56000000000000005</v>
      </c>
      <c r="R79" s="52">
        <f>Model!AH78</f>
        <v>0.51</v>
      </c>
    </row>
    <row r="80" spans="16:18" x14ac:dyDescent="0.25">
      <c r="P80" s="50" t="str">
        <f>Model!AF79</f>
        <v>Canterbury Regional</v>
      </c>
      <c r="Q80" s="52">
        <f>Model!AG79</f>
        <v>0.53</v>
      </c>
      <c r="R80" s="52">
        <f>Model!AH79</f>
        <v>0.51</v>
      </c>
    </row>
    <row r="81" spans="16:18" x14ac:dyDescent="0.25">
      <c r="P81" s="50" t="str">
        <f>Model!AF80</f>
        <v>Auckland</v>
      </c>
      <c r="Q81" s="52">
        <f>Model!AG80</f>
        <v>0.52</v>
      </c>
      <c r="R81" s="52">
        <f>Model!AH80</f>
        <v>0.51</v>
      </c>
    </row>
    <row r="82" spans="16:18" x14ac:dyDescent="0.25">
      <c r="P82" s="50" t="str">
        <f>Model!AF81</f>
        <v>National</v>
      </c>
      <c r="Q82" s="52">
        <f>Model!AG81</f>
        <v>0.53</v>
      </c>
      <c r="R82" s="52">
        <f>Model!AH81</f>
        <v>0.53</v>
      </c>
    </row>
  </sheetData>
  <sheetProtection sheet="1" objects="1" scenarios="1"/>
  <conditionalFormatting sqref="D14:D15">
    <cfRule type="expression" dxfId="13" priority="11" stopIfTrue="1">
      <formula>$D$15="n"</formula>
    </cfRule>
  </conditionalFormatting>
  <conditionalFormatting sqref="B24:B25">
    <cfRule type="expression" dxfId="12" priority="9">
      <formula>ABS($B$24)&gt;0.015%</formula>
    </cfRule>
  </conditionalFormatting>
  <conditionalFormatting sqref="R4:R82">
    <cfRule type="expression" dxfId="11" priority="7">
      <formula>R4&gt;Q4</formula>
    </cfRule>
    <cfRule type="expression" dxfId="10" priority="8">
      <formula>R4&lt;Q4</formula>
    </cfRule>
  </conditionalFormatting>
  <conditionalFormatting sqref="A6:C6">
    <cfRule type="expression" dxfId="9" priority="18" stopIfTrue="1">
      <formula>#REF!="n"</formula>
    </cfRule>
  </conditionalFormatting>
  <conditionalFormatting sqref="A7:C7">
    <cfRule type="expression" dxfId="8" priority="21" stopIfTrue="1">
      <formula>#REF!="n"</formula>
    </cfRule>
  </conditionalFormatting>
  <conditionalFormatting sqref="A5:C5">
    <cfRule type="expression" dxfId="7" priority="24" stopIfTrue="1">
      <formula>#REF!="n"</formula>
    </cfRule>
  </conditionalFormatting>
  <conditionalFormatting sqref="D31">
    <cfRule type="expression" dxfId="6" priority="25">
      <formula>$D$31&gt;$C$31</formula>
    </cfRule>
    <cfRule type="expression" dxfId="5" priority="26">
      <formula>$D$31&lt;$C$31</formula>
    </cfRule>
  </conditionalFormatting>
  <conditionalFormatting sqref="C9">
    <cfRule type="expression" dxfId="4" priority="4" stopIfTrue="1">
      <formula>#REF!="n"</formula>
    </cfRule>
  </conditionalFormatting>
  <conditionalFormatting sqref="A8">
    <cfRule type="expression" dxfId="3" priority="3" stopIfTrue="1">
      <formula>#REF!="n"</formula>
    </cfRule>
  </conditionalFormatting>
  <conditionalFormatting sqref="B8">
    <cfRule type="expression" dxfId="2" priority="2" stopIfTrue="1">
      <formula>#REF!="n"</formula>
    </cfRule>
  </conditionalFormatting>
  <conditionalFormatting sqref="C8">
    <cfRule type="expression" dxfId="1" priority="1" stopIfTrue="1">
      <formula>#REF!="n"</formula>
    </cfRule>
  </conditionalFormatting>
  <dataValidations count="3">
    <dataValidation type="decimal" allowBlank="1" showInputMessage="1" showErrorMessage="1" promptTitle="Maximum FAR" prompt="50 to 100% is allowed in the model._x000a__x000a_Remember to enter as percentage." sqref="B12:B13">
      <formula1>0.5</formula1>
      <formula2>1</formula2>
    </dataValidation>
    <dataValidation type="decimal" allowBlank="1" showInputMessage="1" showErrorMessage="1" promptTitle="Overall national FAR" prompt="20% to 100% is allowed in the model._x000a__x000a_Remember to enter as percentage." sqref="B14">
      <formula1>0.2</formula1>
      <formula2>1</formula2>
    </dataValidation>
    <dataValidation type="decimal" operator="lessThan" allowBlank="1" showInputMessage="1" showErrorMessage="1" error="Must be below the Overall rate._x000a__x000a_Remember to enter as percentage." promptTitle="Minimum FAR" prompt="Set below the overall rate._x000a__x000a_Remember to enter as percentage." sqref="B15">
      <formula1>B14</formula1>
    </dataValidation>
  </dataValidations>
  <hyperlinks>
    <hyperlink ref="A5" location="Inputs!C2:C81" display="Inputs!C2:C81"/>
    <hyperlink ref="A6" location="Inputs!D2:D81" display="Inputs!D2:D81"/>
    <hyperlink ref="A7" location="Inputs!E2:E81" display="Inputs!E2:E81"/>
    <hyperlink ref="A8" location="Inputs!F2:F81" display="Inputs!F2:F81"/>
    <hyperlink ref="A9" location="Inputs!G2:N82" display="Inputs!G2:N82"/>
    <hyperlink ref="A19" location="model!A3:B80" display="model sheet A3:B80"/>
  </hyperlinks>
  <pageMargins left="0.25" right="0.25" top="0.75" bottom="0.75" header="0.3" footer="0.3"/>
  <pageSetup paperSize="9" scale="7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Inputs!$B$4:$B$82</xm:f>
          </x14:formula1>
          <xm:sqref>A31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166"/>
  <sheetViews>
    <sheetView workbookViewId="0">
      <selection activeCell="E88" sqref="E88:P88"/>
    </sheetView>
  </sheetViews>
  <sheetFormatPr defaultRowHeight="15" x14ac:dyDescent="0.25"/>
  <cols>
    <col min="1" max="1" width="5.28515625" bestFit="1" customWidth="1"/>
    <col min="4" max="4" width="28.5703125" customWidth="1"/>
    <col min="5" max="5" width="14" bestFit="1" customWidth="1"/>
    <col min="6" max="6" width="12" bestFit="1" customWidth="1"/>
    <col min="7" max="7" width="24.7109375" customWidth="1"/>
    <col min="13" max="14" width="9.140625" style="1"/>
    <col min="17" max="17" width="11" bestFit="1" customWidth="1"/>
    <col min="18" max="18" width="9.140625" customWidth="1"/>
    <col min="32" max="32" width="28.5703125" bestFit="1" customWidth="1"/>
  </cols>
  <sheetData>
    <row r="1" spans="1:41" x14ac:dyDescent="0.25">
      <c r="A1" s="85" t="s">
        <v>169</v>
      </c>
      <c r="H1" s="8" t="s">
        <v>138</v>
      </c>
      <c r="I1" s="16"/>
      <c r="J1" s="16"/>
      <c r="K1" s="8" t="s">
        <v>94</v>
      </c>
      <c r="L1" s="16"/>
      <c r="M1" s="16"/>
      <c r="N1" s="16"/>
      <c r="O1" s="16"/>
      <c r="P1" s="9"/>
      <c r="S1" s="8" t="s">
        <v>109</v>
      </c>
      <c r="T1" s="9"/>
      <c r="U1" s="8" t="s">
        <v>113</v>
      </c>
      <c r="V1" s="16"/>
      <c r="W1" s="9"/>
      <c r="X1" s="8" t="s">
        <v>115</v>
      </c>
      <c r="Y1" s="16"/>
      <c r="Z1" s="16" t="s">
        <v>116</v>
      </c>
      <c r="AA1" s="9"/>
      <c r="AB1" s="8" t="s">
        <v>134</v>
      </c>
      <c r="AC1" s="9"/>
      <c r="AD1" s="8" t="s">
        <v>135</v>
      </c>
      <c r="AE1" s="9"/>
      <c r="AJ1" t="s">
        <v>103</v>
      </c>
      <c r="AM1" t="s">
        <v>114</v>
      </c>
    </row>
    <row r="2" spans="1:41" x14ac:dyDescent="0.25">
      <c r="A2" t="s">
        <v>95</v>
      </c>
      <c r="B2" t="s">
        <v>86</v>
      </c>
      <c r="C2" t="s">
        <v>85</v>
      </c>
      <c r="D2" t="s">
        <v>87</v>
      </c>
      <c r="E2" t="s">
        <v>82</v>
      </c>
      <c r="F2" t="s">
        <v>89</v>
      </c>
      <c r="G2" t="s">
        <v>132</v>
      </c>
      <c r="H2" s="10" t="str">
        <f>E2</f>
        <v>Rateable Units</v>
      </c>
      <c r="I2" s="14" t="str">
        <f>F2</f>
        <v>NZ Dep</v>
      </c>
      <c r="J2" s="14" t="str">
        <f>G2</f>
        <v>Centreline KM / Capital Value</v>
      </c>
      <c r="K2" s="10" t="str">
        <f>E93&amp;E2</f>
        <v>Rateable Units</v>
      </c>
      <c r="L2" s="14" t="str">
        <f>F93&amp;F2</f>
        <v>NZ Dep</v>
      </c>
      <c r="M2" s="14" t="str">
        <f>G93&amp;G2</f>
        <v>Centreline KM / Capital Value</v>
      </c>
      <c r="N2" s="14" t="s">
        <v>98</v>
      </c>
      <c r="O2" s="14" t="s">
        <v>97</v>
      </c>
      <c r="P2" s="11" t="s">
        <v>100</v>
      </c>
      <c r="S2" s="10" t="s">
        <v>112</v>
      </c>
      <c r="T2" s="11" t="s">
        <v>117</v>
      </c>
      <c r="U2" s="10" t="s">
        <v>102</v>
      </c>
      <c r="V2" s="14" t="s">
        <v>103</v>
      </c>
      <c r="W2" s="11" t="s">
        <v>114</v>
      </c>
      <c r="X2" s="10" t="s">
        <v>103</v>
      </c>
      <c r="Y2" s="14" t="s">
        <v>114</v>
      </c>
      <c r="Z2" s="14" t="s">
        <v>103</v>
      </c>
      <c r="AA2" s="11" t="s">
        <v>114</v>
      </c>
      <c r="AB2" s="32" t="s">
        <v>103</v>
      </c>
      <c r="AC2" s="22" t="s">
        <v>114</v>
      </c>
      <c r="AD2" s="32" t="s">
        <v>103</v>
      </c>
      <c r="AE2" s="22" t="s">
        <v>114</v>
      </c>
      <c r="AF2" s="38" t="s">
        <v>139</v>
      </c>
      <c r="AG2" s="23" t="str">
        <f>T2</f>
        <v>Current</v>
      </c>
      <c r="AH2" s="9" t="s">
        <v>112</v>
      </c>
      <c r="AI2" s="30"/>
      <c r="AJ2" t="s">
        <v>117</v>
      </c>
      <c r="AK2" t="s">
        <v>140</v>
      </c>
      <c r="AL2" t="s">
        <v>141</v>
      </c>
      <c r="AM2" s="1" t="s">
        <v>117</v>
      </c>
      <c r="AN2" s="1" t="s">
        <v>140</v>
      </c>
      <c r="AO2" s="1" t="s">
        <v>141</v>
      </c>
    </row>
    <row r="3" spans="1:41" x14ac:dyDescent="0.25">
      <c r="A3" s="92">
        <f t="shared" ref="A3:A34" si="0">RANK(P3,P$3:P$80,0)</f>
        <v>1</v>
      </c>
      <c r="B3" s="93">
        <v>74</v>
      </c>
      <c r="C3">
        <f>MATCH(B3,Inputs!$A$4:$A$81,0)</f>
        <v>67</v>
      </c>
      <c r="D3" t="str">
        <f>INDEX(Inputs!$A$4:$S$81,Model!$C3,D$90)</f>
        <v>Chatham Islands Territory</v>
      </c>
      <c r="E3">
        <f>INDEX(Inputs!$A$4:$S$81,Model!$C3,E$90)</f>
        <v>559</v>
      </c>
      <c r="F3">
        <f>INDEX(Inputs!$A$4:$S$81,Model!$C3,F$90)</f>
        <v>975.58477508650515</v>
      </c>
      <c r="G3">
        <f>INDEX(Inputs!$A$4:$S$81,Model!$C3,G$90)</f>
        <v>1.4589390171641322E-6</v>
      </c>
      <c r="H3" s="10">
        <f t="shared" ref="H3:H34" si="1">STANDARDIZE(E3,E$87,E$88)</f>
        <v>-0.55515191196447133</v>
      </c>
      <c r="I3" s="14">
        <f t="shared" ref="I3:I34" si="2">STANDARDIZE(F3,F$87,F$88)</f>
        <v>-0.64194413921127325</v>
      </c>
      <c r="J3" s="14">
        <f t="shared" ref="J3:J34" si="3">STANDARDIZE(G3,G$87,G$88)</f>
        <v>7.0575080383827427</v>
      </c>
      <c r="K3" s="10">
        <f t="shared" ref="K3:K34" si="4">IF(E$91=0,0,E$92*IF(E$91&lt;0,H3-H$82,H$83-H3))</f>
        <v>7.0710322725480088</v>
      </c>
      <c r="L3" s="14">
        <f t="shared" ref="L3:L34" si="5">IF(F$91=0,0,F$92*IF(F$91&lt;0,I3-I$82,I$83-I3))</f>
        <v>1.3256013130762263</v>
      </c>
      <c r="M3" s="14">
        <f t="shared" ref="M3:M34" si="6">IF(G$91=0,0,G$92*IF(G$91&lt;0,J3-J$82,J$83-J3))</f>
        <v>7.9443046448994865</v>
      </c>
      <c r="N3" s="14">
        <f t="shared" ref="N3:N34" si="7">SUM(K3:M3)</f>
        <v>16.340938230523722</v>
      </c>
      <c r="O3" s="14">
        <f>(N3-N$82)/N$84</f>
        <v>1</v>
      </c>
      <c r="P3" s="11">
        <f>N3-N$85</f>
        <v>7.2018707835846989</v>
      </c>
      <c r="S3" s="26">
        <f t="shared" ref="S3:S34" si="8">MAX(IF(B3=74,$R$11,$R$12),MIN($R$10,$R$12+$R$15*P3))</f>
        <v>0.85</v>
      </c>
      <c r="T3" s="18">
        <f>INDEX(Inputs!R$4:R$81,Model!$C3)</f>
        <v>0.89120355845760213</v>
      </c>
      <c r="U3" s="10">
        <f>INDEX(Inputs!O$4:O$81,Model!$C3)</f>
        <v>16048751</v>
      </c>
      <c r="V3" s="14">
        <f>INDEX(Inputs!P$4:P$81,Model!$C3)</f>
        <v>14302704</v>
      </c>
      <c r="W3" s="11">
        <f>INDEX(Inputs!Q$4:Q$81,Model!$C3)</f>
        <v>1746047</v>
      </c>
      <c r="X3" s="10">
        <f t="shared" ref="X3:X34" si="9">U3*S3</f>
        <v>13641438.35</v>
      </c>
      <c r="Y3" s="14">
        <f t="shared" ref="Y3:Y34" si="10">U3-X3</f>
        <v>2407312.6500000004</v>
      </c>
      <c r="Z3" s="14">
        <f t="shared" ref="Z3:Z34" si="11">X3-V3</f>
        <v>-661265.65000000037</v>
      </c>
      <c r="AA3" s="11">
        <f t="shared" ref="AA3:AA34" si="12">Y3-W3</f>
        <v>661265.65000000037</v>
      </c>
      <c r="AB3" s="33">
        <f>Z3/V3</f>
        <v>-4.6233610791358078E-2</v>
      </c>
      <c r="AC3" s="34">
        <f>AA3/W3</f>
        <v>0.37872156362343073</v>
      </c>
      <c r="AD3" s="26">
        <f>Z3/Z$81</f>
        <v>8.3099756208990072E-2</v>
      </c>
      <c r="AE3" s="18">
        <f>AA3/AA$81</f>
        <v>8.3099756208990072E-2</v>
      </c>
      <c r="AF3" s="8" t="str">
        <f t="shared" ref="AF3:AF34" si="13">D3</f>
        <v>Chatham Islands Territory</v>
      </c>
      <c r="AG3" s="41">
        <f>ROUND(T3,2)</f>
        <v>0.89</v>
      </c>
      <c r="AH3" s="40">
        <f>ROUND(S3,2)</f>
        <v>0.85</v>
      </c>
      <c r="AJ3">
        <f>MIN(V3,X3)</f>
        <v>13641438.35</v>
      </c>
      <c r="AK3">
        <f>X3-AJ3</f>
        <v>0</v>
      </c>
      <c r="AL3">
        <f>V3-AJ3</f>
        <v>661265.65000000037</v>
      </c>
      <c r="AM3" s="1"/>
      <c r="AN3" s="1"/>
      <c r="AO3" s="1"/>
    </row>
    <row r="4" spans="1:41" x14ac:dyDescent="0.25">
      <c r="A4" s="94">
        <f t="shared" si="0"/>
        <v>2</v>
      </c>
      <c r="B4" s="95">
        <v>31</v>
      </c>
      <c r="C4">
        <f>MATCH(B4,Inputs!$A$4:$A$81,0)</f>
        <v>25</v>
      </c>
      <c r="D4" t="str">
        <f>INDEX(Inputs!$A$4:$S$81,Model!$C4,D$90)</f>
        <v>Wairoa District</v>
      </c>
      <c r="E4">
        <f>INDEX(Inputs!$A$4:$S$81,Model!$C4,E$90)</f>
        <v>6718</v>
      </c>
      <c r="F4">
        <f>INDEX(Inputs!$A$4:$S$81,Model!$C4,F$90)</f>
        <v>1099.1204060203011</v>
      </c>
      <c r="G4">
        <f>INDEX(Inputs!$A$4:$S$81,Model!$C4,G$90)</f>
        <v>5.3055642260206069E-7</v>
      </c>
      <c r="H4" s="10">
        <f t="shared" si="1"/>
        <v>-0.47196774606668801</v>
      </c>
      <c r="I4" s="14">
        <f t="shared" si="2"/>
        <v>2.308035649817652</v>
      </c>
      <c r="J4" s="14">
        <f t="shared" si="3"/>
        <v>1.9538831884525925</v>
      </c>
      <c r="K4" s="10">
        <f t="shared" si="4"/>
        <v>6.9878481066502252</v>
      </c>
      <c r="L4" s="14">
        <f t="shared" si="5"/>
        <v>4.2755811021051517</v>
      </c>
      <c r="M4" s="14">
        <f t="shared" si="6"/>
        <v>2.8406797949693363</v>
      </c>
      <c r="N4" s="14">
        <f t="shared" si="7"/>
        <v>14.104109003724712</v>
      </c>
      <c r="O4" s="14">
        <f t="shared" ref="O4:O67" si="14">(N4-N$82)/N$84</f>
        <v>0.84539669403923889</v>
      </c>
      <c r="P4" s="11">
        <f t="shared" ref="P4:P67" si="15">N4-N$85</f>
        <v>4.9650415567856889</v>
      </c>
      <c r="S4" s="26">
        <f t="shared" si="8"/>
        <v>0.75</v>
      </c>
      <c r="T4" s="18">
        <f>INDEX(Inputs!R$4:R$81,Model!$C4)</f>
        <v>0.68384229370636973</v>
      </c>
      <c r="U4" s="10">
        <f>INDEX(Inputs!O$4:O$81,Model!$C4)</f>
        <v>30184439</v>
      </c>
      <c r="V4" s="14">
        <f>INDEX(Inputs!P$4:P$81,Model!$C4)</f>
        <v>20641396</v>
      </c>
      <c r="W4" s="11">
        <f>INDEX(Inputs!Q$4:Q$81,Model!$C4)</f>
        <v>9543043</v>
      </c>
      <c r="X4" s="10">
        <f t="shared" si="9"/>
        <v>22638329.25</v>
      </c>
      <c r="Y4" s="14">
        <f t="shared" si="10"/>
        <v>7546109.75</v>
      </c>
      <c r="Z4" s="14">
        <f t="shared" si="11"/>
        <v>1996933.25</v>
      </c>
      <c r="AA4" s="11">
        <f t="shared" si="12"/>
        <v>-1996933.25</v>
      </c>
      <c r="AB4" s="33">
        <f t="shared" ref="AB4:AB67" si="16">Z4/V4</f>
        <v>9.6744098606508983E-2</v>
      </c>
      <c r="AC4" s="34">
        <f t="shared" ref="AC4:AC67" si="17">AA4/W4</f>
        <v>-0.20925539683725622</v>
      </c>
      <c r="AD4" s="26">
        <f t="shared" ref="AD4:AD67" si="18">Z4/Z$81</f>
        <v>-0.25095007768908928</v>
      </c>
      <c r="AE4" s="18">
        <f t="shared" ref="AE4:AE67" si="19">AA4/AA$81</f>
        <v>-0.25095007768908928</v>
      </c>
      <c r="AF4" s="10" t="str">
        <f t="shared" si="13"/>
        <v>Wairoa District</v>
      </c>
      <c r="AG4" s="42">
        <f t="shared" ref="AG4:AG67" si="20">ROUND(T4,2)</f>
        <v>0.68</v>
      </c>
      <c r="AH4" s="18">
        <f t="shared" ref="AH4:AH67" si="21">ROUND(S4,2)</f>
        <v>0.75</v>
      </c>
      <c r="AI4" s="1"/>
      <c r="AJ4" s="1"/>
      <c r="AK4" s="1"/>
      <c r="AL4" s="1"/>
      <c r="AM4">
        <f>MIN(W3,Y3)</f>
        <v>1746047</v>
      </c>
      <c r="AN4">
        <f>Y3-AM4</f>
        <v>661265.65000000037</v>
      </c>
      <c r="AO4" s="1">
        <f>W3-AM4</f>
        <v>0</v>
      </c>
    </row>
    <row r="5" spans="1:41" x14ac:dyDescent="0.25">
      <c r="A5" s="94">
        <f t="shared" si="0"/>
        <v>3</v>
      </c>
      <c r="B5" s="95">
        <v>22</v>
      </c>
      <c r="C5">
        <f>MATCH(B5,Inputs!$A$4:$A$81,0)</f>
        <v>16</v>
      </c>
      <c r="D5" t="str">
        <f>INDEX(Inputs!$A$4:$S$81,Model!$C5,D$90)</f>
        <v>Opotiki District</v>
      </c>
      <c r="E5">
        <f>INDEX(Inputs!$A$4:$S$81,Model!$C5,E$90)</f>
        <v>5593</v>
      </c>
      <c r="F5">
        <f>INDEX(Inputs!$A$4:$S$81,Model!$C5,F$90)</f>
        <v>1145.6655439541933</v>
      </c>
      <c r="G5">
        <f>INDEX(Inputs!$A$4:$S$81,Model!$C5,G$90)</f>
        <v>2.0416663944192376E-7</v>
      </c>
      <c r="H5" s="10">
        <f t="shared" si="1"/>
        <v>-0.48716212610159731</v>
      </c>
      <c r="I5" s="14">
        <f t="shared" si="2"/>
        <v>3.4195142988895944</v>
      </c>
      <c r="J5" s="14">
        <f t="shared" si="3"/>
        <v>0.15961106631618888</v>
      </c>
      <c r="K5" s="10">
        <f t="shared" si="4"/>
        <v>7.0030424866851346</v>
      </c>
      <c r="L5" s="14">
        <f t="shared" si="5"/>
        <v>5.3870597511770937</v>
      </c>
      <c r="M5" s="14">
        <f t="shared" si="6"/>
        <v>1.046407672832933</v>
      </c>
      <c r="N5" s="14">
        <f t="shared" si="7"/>
        <v>13.436509910695161</v>
      </c>
      <c r="O5" s="14">
        <f t="shared" si="14"/>
        <v>0.79925413402517997</v>
      </c>
      <c r="P5" s="11">
        <f t="shared" si="15"/>
        <v>4.2974424637561377</v>
      </c>
      <c r="S5" s="26">
        <f t="shared" si="8"/>
        <v>0.75</v>
      </c>
      <c r="T5" s="18">
        <f>INDEX(Inputs!R$4:R$81,Model!$C5)</f>
        <v>0.51206895565845589</v>
      </c>
      <c r="U5" s="10">
        <f>INDEX(Inputs!O$4:O$81,Model!$C5)</f>
        <v>8744170</v>
      </c>
      <c r="V5" s="14">
        <f>INDEX(Inputs!P$4:P$81,Model!$C5)</f>
        <v>4477618</v>
      </c>
      <c r="W5" s="11">
        <f>INDEX(Inputs!Q$4:Q$81,Model!$C5)</f>
        <v>4266552</v>
      </c>
      <c r="X5" s="10">
        <f t="shared" si="9"/>
        <v>6558127.5</v>
      </c>
      <c r="Y5" s="14">
        <f t="shared" si="10"/>
        <v>2186042.5</v>
      </c>
      <c r="Z5" s="14">
        <f t="shared" si="11"/>
        <v>2080509.5</v>
      </c>
      <c r="AA5" s="11">
        <f t="shared" si="12"/>
        <v>-2080509.5</v>
      </c>
      <c r="AB5" s="33">
        <f t="shared" si="16"/>
        <v>0.46464649284507969</v>
      </c>
      <c r="AC5" s="34">
        <f t="shared" si="17"/>
        <v>-0.48763251918645312</v>
      </c>
      <c r="AD5" s="26">
        <f t="shared" si="18"/>
        <v>-0.26145291569354578</v>
      </c>
      <c r="AE5" s="18">
        <f t="shared" si="19"/>
        <v>-0.26145291569354578</v>
      </c>
      <c r="AF5" s="10" t="str">
        <f t="shared" si="13"/>
        <v>Opotiki District</v>
      </c>
      <c r="AG5" s="42">
        <f t="shared" si="20"/>
        <v>0.51</v>
      </c>
      <c r="AH5" s="18">
        <f t="shared" si="21"/>
        <v>0.75</v>
      </c>
      <c r="AI5" s="1"/>
      <c r="AJ5" s="1">
        <f>MIN(V4,X4)</f>
        <v>20641396</v>
      </c>
      <c r="AK5" s="1">
        <f>X4-AJ5</f>
        <v>1996933.25</v>
      </c>
      <c r="AL5" s="1">
        <f>V4-AJ5</f>
        <v>0</v>
      </c>
      <c r="AM5" s="1"/>
      <c r="AN5" s="1"/>
      <c r="AO5" s="1"/>
    </row>
    <row r="6" spans="1:41" x14ac:dyDescent="0.25">
      <c r="A6" s="94">
        <f t="shared" si="0"/>
        <v>4</v>
      </c>
      <c r="B6" s="95">
        <v>21</v>
      </c>
      <c r="C6">
        <f>MATCH(B6,Inputs!$A$4:$A$81,0)</f>
        <v>15</v>
      </c>
      <c r="D6" t="str">
        <f>INDEX(Inputs!$A$4:$S$81,Model!$C6,D$90)</f>
        <v>Kawerau District</v>
      </c>
      <c r="E6">
        <f>INDEX(Inputs!$A$4:$S$81,Model!$C6,E$90)</f>
        <v>2897</v>
      </c>
      <c r="F6">
        <f>INDEX(Inputs!$A$4:$S$81,Model!$C6,F$90)</f>
        <v>1148.7324066029539</v>
      </c>
      <c r="G6">
        <f>INDEX(Inputs!$A$4:$S$81,Model!$C6,G$90)</f>
        <v>8.3297628152099387E-8</v>
      </c>
      <c r="H6" s="10">
        <f t="shared" si="1"/>
        <v>-0.52357461372303327</v>
      </c>
      <c r="I6" s="14">
        <f t="shared" si="2"/>
        <v>3.4927497109013736</v>
      </c>
      <c r="J6" s="14">
        <f t="shared" si="3"/>
        <v>-0.50484569237198984</v>
      </c>
      <c r="K6" s="10">
        <f t="shared" si="4"/>
        <v>7.0394549743065706</v>
      </c>
      <c r="L6" s="14">
        <f t="shared" si="5"/>
        <v>5.4602951631888734</v>
      </c>
      <c r="M6" s="14">
        <f t="shared" si="6"/>
        <v>0.38195091414475424</v>
      </c>
      <c r="N6" s="14">
        <f t="shared" si="7"/>
        <v>12.881701051640198</v>
      </c>
      <c r="O6" s="14">
        <f t="shared" si="14"/>
        <v>0.76090731578865178</v>
      </c>
      <c r="P6" s="11">
        <f t="shared" si="15"/>
        <v>3.7426336047011741</v>
      </c>
      <c r="S6" s="26">
        <f t="shared" si="8"/>
        <v>0.75</v>
      </c>
      <c r="T6" s="18">
        <f>INDEX(Inputs!R$4:R$81,Model!$C6)</f>
        <v>0.6746412874904304</v>
      </c>
      <c r="U6" s="10">
        <f>INDEX(Inputs!O$4:O$81,Model!$C6)</f>
        <v>1925358</v>
      </c>
      <c r="V6" s="14">
        <f>INDEX(Inputs!P$4:P$81,Model!$C6)</f>
        <v>1298926</v>
      </c>
      <c r="W6" s="11">
        <f>INDEX(Inputs!Q$4:Q$81,Model!$C6)</f>
        <v>626432</v>
      </c>
      <c r="X6" s="10">
        <f t="shared" si="9"/>
        <v>1444018.5</v>
      </c>
      <c r="Y6" s="14">
        <f t="shared" si="10"/>
        <v>481339.5</v>
      </c>
      <c r="Z6" s="14">
        <f t="shared" si="11"/>
        <v>145092.5</v>
      </c>
      <c r="AA6" s="11">
        <f t="shared" si="12"/>
        <v>-145092.5</v>
      </c>
      <c r="AB6" s="33">
        <f t="shared" si="16"/>
        <v>0.11170189833754963</v>
      </c>
      <c r="AC6" s="34">
        <f t="shared" si="17"/>
        <v>-0.23161731840008173</v>
      </c>
      <c r="AD6" s="26">
        <f t="shared" si="18"/>
        <v>-1.8233445783480341E-2</v>
      </c>
      <c r="AE6" s="18">
        <f t="shared" si="19"/>
        <v>-1.8233445783480341E-2</v>
      </c>
      <c r="AF6" s="10" t="str">
        <f t="shared" si="13"/>
        <v>Kawerau District</v>
      </c>
      <c r="AG6" s="42">
        <f t="shared" si="20"/>
        <v>0.67</v>
      </c>
      <c r="AH6" s="18">
        <f t="shared" si="21"/>
        <v>0.75</v>
      </c>
      <c r="AI6" s="1"/>
      <c r="AJ6" s="1"/>
      <c r="AK6" s="1"/>
      <c r="AL6" s="1"/>
      <c r="AM6" s="1">
        <f>MIN(W4,Y4)</f>
        <v>7546109.75</v>
      </c>
      <c r="AN6" s="1">
        <f>Y4-AM6</f>
        <v>0</v>
      </c>
      <c r="AO6" s="1">
        <f>W4-AM6</f>
        <v>1996933.25</v>
      </c>
    </row>
    <row r="7" spans="1:41" x14ac:dyDescent="0.25">
      <c r="A7" s="94">
        <f t="shared" si="0"/>
        <v>5</v>
      </c>
      <c r="B7" s="95">
        <v>39</v>
      </c>
      <c r="C7">
        <f>MATCH(B7,Inputs!$A$4:$A$81,0)</f>
        <v>33</v>
      </c>
      <c r="D7" t="str">
        <f>INDEX(Inputs!$A$4:$S$81,Model!$C7,D$90)</f>
        <v>Ruapehu District</v>
      </c>
      <c r="E7">
        <f>INDEX(Inputs!$A$4:$S$81,Model!$C7,E$90)</f>
        <v>8965</v>
      </c>
      <c r="F7">
        <f>INDEX(Inputs!$A$4:$S$81,Model!$C7,F$90)</f>
        <v>1058.4324503311259</v>
      </c>
      <c r="G7">
        <f>INDEX(Inputs!$A$4:$S$81,Model!$C7,G$90)</f>
        <v>3.6253322622780407E-7</v>
      </c>
      <c r="H7" s="10">
        <f t="shared" si="1"/>
        <v>-0.44161950434362923</v>
      </c>
      <c r="I7" s="14">
        <f t="shared" si="2"/>
        <v>1.3364240910091989</v>
      </c>
      <c r="J7" s="14">
        <f t="shared" si="3"/>
        <v>1.0302043459115438</v>
      </c>
      <c r="K7" s="10">
        <f t="shared" si="4"/>
        <v>6.9574998649271667</v>
      </c>
      <c r="L7" s="14">
        <f t="shared" si="5"/>
        <v>3.3039695432966987</v>
      </c>
      <c r="M7" s="14">
        <f t="shared" si="6"/>
        <v>1.9170009524282878</v>
      </c>
      <c r="N7" s="14">
        <f t="shared" si="7"/>
        <v>12.178470360652152</v>
      </c>
      <c r="O7" s="14">
        <f t="shared" si="14"/>
        <v>0.7123020005606282</v>
      </c>
      <c r="P7" s="11">
        <f t="shared" si="15"/>
        <v>3.0394029137131291</v>
      </c>
      <c r="S7" s="26">
        <f t="shared" si="8"/>
        <v>0.71743924886092114</v>
      </c>
      <c r="T7" s="18">
        <f>INDEX(Inputs!R$4:R$81,Model!$C7)</f>
        <v>0.66396864428815094</v>
      </c>
      <c r="U7" s="10">
        <f>INDEX(Inputs!O$4:O$81,Model!$C7)</f>
        <v>43246985</v>
      </c>
      <c r="V7" s="14">
        <f>INDEX(Inputs!P$4:P$81,Model!$C7)</f>
        <v>28714642</v>
      </c>
      <c r="W7" s="11">
        <f>INDEX(Inputs!Q$4:Q$81,Model!$C7)</f>
        <v>14532343</v>
      </c>
      <c r="X7" s="10">
        <f t="shared" si="9"/>
        <v>31027084.433899526</v>
      </c>
      <c r="Y7" s="14">
        <f t="shared" si="10"/>
        <v>12219900.566100474</v>
      </c>
      <c r="Z7" s="14">
        <f t="shared" si="11"/>
        <v>2312442.4338995256</v>
      </c>
      <c r="AA7" s="11">
        <f t="shared" si="12"/>
        <v>-2312442.4338995256</v>
      </c>
      <c r="AB7" s="33">
        <f t="shared" si="16"/>
        <v>8.0531821845437793E-2</v>
      </c>
      <c r="AC7" s="34">
        <f t="shared" si="17"/>
        <v>-0.15912385455666203</v>
      </c>
      <c r="AD7" s="26">
        <f t="shared" si="18"/>
        <v>-0.29059940207747692</v>
      </c>
      <c r="AE7" s="18">
        <f t="shared" si="19"/>
        <v>-0.29059940207747692</v>
      </c>
      <c r="AF7" s="10" t="str">
        <f t="shared" si="13"/>
        <v>Ruapehu District</v>
      </c>
      <c r="AG7" s="42">
        <f t="shared" si="20"/>
        <v>0.66</v>
      </c>
      <c r="AH7" s="18">
        <f t="shared" si="21"/>
        <v>0.72</v>
      </c>
      <c r="AI7" s="1"/>
      <c r="AJ7" s="1">
        <f>MIN(V5,X5)</f>
        <v>4477618</v>
      </c>
      <c r="AK7" s="1">
        <f>X5-AJ7</f>
        <v>2080509.5</v>
      </c>
      <c r="AL7" s="1">
        <f>V5-AJ7</f>
        <v>0</v>
      </c>
      <c r="AM7" s="1"/>
      <c r="AN7" s="1"/>
      <c r="AO7" s="1"/>
    </row>
    <row r="8" spans="1:41" x14ac:dyDescent="0.25">
      <c r="A8" s="94">
        <f t="shared" si="0"/>
        <v>6</v>
      </c>
      <c r="B8" s="95">
        <v>20</v>
      </c>
      <c r="C8">
        <f>MATCH(B8,Inputs!$A$4:$A$81,0)</f>
        <v>14</v>
      </c>
      <c r="D8" t="str">
        <f>INDEX(Inputs!$A$4:$S$81,Model!$C8,D$90)</f>
        <v>Waitomo District</v>
      </c>
      <c r="E8">
        <f>INDEX(Inputs!$A$4:$S$81,Model!$C8,E$90)</f>
        <v>5803</v>
      </c>
      <c r="F8">
        <f>INDEX(Inputs!$A$4:$S$81,Model!$C8,F$90)</f>
        <v>1051.6662480376765</v>
      </c>
      <c r="G8">
        <f>INDEX(Inputs!$A$4:$S$81,Model!$C8,G$90)</f>
        <v>3.7068204350386071E-7</v>
      </c>
      <c r="H8" s="10">
        <f t="shared" si="1"/>
        <v>-0.48432584182841421</v>
      </c>
      <c r="I8" s="14">
        <f t="shared" si="2"/>
        <v>1.1748499778300323</v>
      </c>
      <c r="J8" s="14">
        <f t="shared" si="3"/>
        <v>1.0750010779821624</v>
      </c>
      <c r="K8" s="10">
        <f t="shared" si="4"/>
        <v>7.0002062024119516</v>
      </c>
      <c r="L8" s="14">
        <f t="shared" si="5"/>
        <v>3.1423954301175319</v>
      </c>
      <c r="M8" s="14">
        <f t="shared" si="6"/>
        <v>1.9617976844989065</v>
      </c>
      <c r="N8" s="14">
        <f t="shared" si="7"/>
        <v>12.10439931702839</v>
      </c>
      <c r="O8" s="14">
        <f t="shared" si="14"/>
        <v>0.70718241964537654</v>
      </c>
      <c r="P8" s="11">
        <f t="shared" si="15"/>
        <v>2.9653318700893667</v>
      </c>
      <c r="S8" s="26">
        <f t="shared" si="8"/>
        <v>0.71238390013359931</v>
      </c>
      <c r="T8" s="18">
        <f>INDEX(Inputs!R$4:R$81,Model!$C8)</f>
        <v>0.58718511670524409</v>
      </c>
      <c r="U8" s="10">
        <f>INDEX(Inputs!O$4:O$81,Model!$C8)</f>
        <v>30471210</v>
      </c>
      <c r="V8" s="14">
        <f>INDEX(Inputs!P$4:P$81,Model!$C8)</f>
        <v>17892241</v>
      </c>
      <c r="W8" s="11">
        <f>INDEX(Inputs!Q$4:Q$81,Model!$C8)</f>
        <v>12578969</v>
      </c>
      <c r="X8" s="10">
        <f t="shared" si="9"/>
        <v>21707199.421589933</v>
      </c>
      <c r="Y8" s="14">
        <f t="shared" si="10"/>
        <v>8764010.5784100667</v>
      </c>
      <c r="Z8" s="14">
        <f t="shared" si="11"/>
        <v>3814958.4215899333</v>
      </c>
      <c r="AA8" s="11">
        <f t="shared" si="12"/>
        <v>-3814958.4215899333</v>
      </c>
      <c r="AB8" s="33">
        <f t="shared" si="16"/>
        <v>0.21321859132066986</v>
      </c>
      <c r="AC8" s="34">
        <f t="shared" si="17"/>
        <v>-0.30328069189056223</v>
      </c>
      <c r="AD8" s="26">
        <f t="shared" si="18"/>
        <v>-0.47941718246147652</v>
      </c>
      <c r="AE8" s="18">
        <f t="shared" si="19"/>
        <v>-0.47941718246147652</v>
      </c>
      <c r="AF8" s="10" t="str">
        <f t="shared" si="13"/>
        <v>Waitomo District</v>
      </c>
      <c r="AG8" s="42">
        <f t="shared" si="20"/>
        <v>0.59</v>
      </c>
      <c r="AH8" s="18">
        <f t="shared" si="21"/>
        <v>0.71</v>
      </c>
      <c r="AI8" s="1"/>
      <c r="AJ8" s="1"/>
      <c r="AK8" s="1"/>
      <c r="AL8" s="1"/>
      <c r="AM8" s="1">
        <f>MIN(W5,Y5)</f>
        <v>2186042.5</v>
      </c>
      <c r="AN8" s="1">
        <f>Y5-AM8</f>
        <v>0</v>
      </c>
      <c r="AO8" s="1">
        <f>W5-AM8</f>
        <v>2080509.5</v>
      </c>
    </row>
    <row r="9" spans="1:41" x14ac:dyDescent="0.25">
      <c r="A9" s="94">
        <f t="shared" si="0"/>
        <v>7</v>
      </c>
      <c r="B9" s="95">
        <v>27</v>
      </c>
      <c r="C9">
        <f>MATCH(B9,Inputs!$A$4:$A$81,0)</f>
        <v>21</v>
      </c>
      <c r="D9" t="str">
        <f>INDEX(Inputs!$A$4:$S$81,Model!$C9,D$90)</f>
        <v>Gisborne District</v>
      </c>
      <c r="E9">
        <f>INDEX(Inputs!$A$4:$S$81,Model!$C9,E$90)</f>
        <v>23737</v>
      </c>
      <c r="F9">
        <f>INDEX(Inputs!$A$4:$S$81,Model!$C9,F$90)</f>
        <v>1077.2893648749407</v>
      </c>
      <c r="G9">
        <f>INDEX(Inputs!$A$4:$S$81,Model!$C9,G$90)</f>
        <v>2.0054241197138027E-7</v>
      </c>
      <c r="H9" s="10">
        <f t="shared" si="1"/>
        <v>-0.24210716489858042</v>
      </c>
      <c r="I9" s="14">
        <f t="shared" si="2"/>
        <v>1.7867194136397253</v>
      </c>
      <c r="J9" s="14">
        <f t="shared" si="3"/>
        <v>0.13968749440864969</v>
      </c>
      <c r="K9" s="10">
        <f t="shared" si="4"/>
        <v>6.7579875254821182</v>
      </c>
      <c r="L9" s="14">
        <f t="shared" si="5"/>
        <v>3.7542648659272251</v>
      </c>
      <c r="M9" s="14">
        <f t="shared" si="6"/>
        <v>1.0264841009253938</v>
      </c>
      <c r="N9" s="14">
        <f t="shared" si="7"/>
        <v>11.538736492334738</v>
      </c>
      <c r="O9" s="14">
        <f t="shared" si="14"/>
        <v>0.66808540602047406</v>
      </c>
      <c r="P9" s="11">
        <f t="shared" si="15"/>
        <v>2.399669045395715</v>
      </c>
      <c r="Q9" s="1" t="s">
        <v>109</v>
      </c>
      <c r="R9" s="15"/>
      <c r="S9" s="26">
        <f t="shared" si="8"/>
        <v>0.67377741234825761</v>
      </c>
      <c r="T9" s="18">
        <f>INDEX(Inputs!R$4:R$81,Model!$C9)</f>
        <v>0.59618989688247992</v>
      </c>
      <c r="U9" s="10">
        <f>INDEX(Inputs!O$4:O$81,Model!$C9)</f>
        <v>82019040</v>
      </c>
      <c r="V9" s="14">
        <f>INDEX(Inputs!P$4:P$81,Model!$C9)</f>
        <v>48898923</v>
      </c>
      <c r="W9" s="11">
        <f>INDEX(Inputs!Q$4:Q$81,Model!$C9)</f>
        <v>33120117</v>
      </c>
      <c r="X9" s="10">
        <f t="shared" si="9"/>
        <v>55262576.534488238</v>
      </c>
      <c r="Y9" s="14">
        <f t="shared" si="10"/>
        <v>26756463.465511762</v>
      </c>
      <c r="Z9" s="14">
        <f t="shared" si="11"/>
        <v>6363653.5344882384</v>
      </c>
      <c r="AA9" s="11">
        <f t="shared" si="12"/>
        <v>-6363653.5344882384</v>
      </c>
      <c r="AB9" s="33">
        <f t="shared" si="16"/>
        <v>0.13013893035002505</v>
      </c>
      <c r="AC9" s="34">
        <f t="shared" si="17"/>
        <v>-0.1921386187883406</v>
      </c>
      <c r="AD9" s="26">
        <f t="shared" si="18"/>
        <v>-0.79970592350358793</v>
      </c>
      <c r="AE9" s="18">
        <f t="shared" si="19"/>
        <v>-0.79970592350358793</v>
      </c>
      <c r="AF9" s="10" t="str">
        <f t="shared" si="13"/>
        <v>Gisborne District</v>
      </c>
      <c r="AG9" s="42">
        <f t="shared" si="20"/>
        <v>0.6</v>
      </c>
      <c r="AH9" s="18">
        <f t="shared" si="21"/>
        <v>0.67</v>
      </c>
      <c r="AI9" s="1"/>
      <c r="AJ9" s="1">
        <f>MIN(V6,X6)</f>
        <v>1298926</v>
      </c>
      <c r="AK9" s="1">
        <f>X6-AJ9</f>
        <v>145092.5</v>
      </c>
      <c r="AL9" s="1">
        <f>V6-AJ9</f>
        <v>0</v>
      </c>
      <c r="AM9" s="1"/>
      <c r="AN9" s="1"/>
      <c r="AO9" s="1"/>
    </row>
    <row r="10" spans="1:41" x14ac:dyDescent="0.25">
      <c r="A10" s="94">
        <f t="shared" si="0"/>
        <v>8</v>
      </c>
      <c r="B10" s="95">
        <v>1</v>
      </c>
      <c r="C10">
        <f>MATCH(B10,Inputs!$A$4:$A$81,0)</f>
        <v>1</v>
      </c>
      <c r="D10" t="str">
        <f>INDEX(Inputs!$A$4:$S$81,Model!$C10,D$90)</f>
        <v>Far North District</v>
      </c>
      <c r="E10">
        <f>INDEX(Inputs!$A$4:$S$81,Model!$C10,E$90)</f>
        <v>36354</v>
      </c>
      <c r="F10">
        <f>INDEX(Inputs!$A$4:$S$81,Model!$C10,F$90)</f>
        <v>1076.2095074209508</v>
      </c>
      <c r="G10">
        <f>INDEX(Inputs!$A$4:$S$81,Model!$C10,G$90)</f>
        <v>1.9752129283184468E-7</v>
      </c>
      <c r="H10" s="10">
        <f t="shared" si="1"/>
        <v>-7.1700504542624513E-2</v>
      </c>
      <c r="I10" s="14">
        <f t="shared" si="2"/>
        <v>1.7609328641218001</v>
      </c>
      <c r="J10" s="14">
        <f t="shared" si="3"/>
        <v>0.1230794076075323</v>
      </c>
      <c r="K10" s="10">
        <f t="shared" si="4"/>
        <v>6.5875808651261618</v>
      </c>
      <c r="L10" s="14">
        <f t="shared" si="5"/>
        <v>3.7284783164092996</v>
      </c>
      <c r="M10" s="14">
        <f t="shared" si="6"/>
        <v>1.0098760141242764</v>
      </c>
      <c r="N10" s="14">
        <f t="shared" si="7"/>
        <v>11.325935195659738</v>
      </c>
      <c r="O10" s="14">
        <f t="shared" si="14"/>
        <v>0.65337718261900646</v>
      </c>
      <c r="P10" s="11">
        <f t="shared" si="15"/>
        <v>2.1868677487207151</v>
      </c>
      <c r="Q10" s="1" t="s">
        <v>92</v>
      </c>
      <c r="R10" s="15">
        <f>Calculation!B12</f>
        <v>0.75</v>
      </c>
      <c r="S10" s="26">
        <f t="shared" si="8"/>
        <v>0.65925372385018877</v>
      </c>
      <c r="T10" s="18">
        <f>INDEX(Inputs!R$4:R$81,Model!$C10)</f>
        <v>0.57895111614666683</v>
      </c>
      <c r="U10" s="10">
        <f>INDEX(Inputs!O$4:O$81,Model!$C10)</f>
        <v>97645187</v>
      </c>
      <c r="V10" s="14">
        <f>INDEX(Inputs!P$4:P$81,Model!$C10)</f>
        <v>56531790</v>
      </c>
      <c r="W10" s="11">
        <f>INDEX(Inputs!Q$4:Q$81,Model!$C10)</f>
        <v>41113397</v>
      </c>
      <c r="X10" s="10">
        <f t="shared" si="9"/>
        <v>64372953.145798042</v>
      </c>
      <c r="Y10" s="14">
        <f t="shared" si="10"/>
        <v>33272233.854201958</v>
      </c>
      <c r="Z10" s="14">
        <f t="shared" si="11"/>
        <v>7841163.1457980424</v>
      </c>
      <c r="AA10" s="11">
        <f t="shared" si="12"/>
        <v>-7841163.1457980424</v>
      </c>
      <c r="AB10" s="33">
        <f t="shared" si="16"/>
        <v>0.13870360633898277</v>
      </c>
      <c r="AC10" s="34">
        <f t="shared" si="17"/>
        <v>-0.19072039086913792</v>
      </c>
      <c r="AD10" s="26">
        <f t="shared" si="18"/>
        <v>-0.98538120921710459</v>
      </c>
      <c r="AE10" s="18">
        <f t="shared" si="19"/>
        <v>-0.98538120921710459</v>
      </c>
      <c r="AF10" s="10" t="str">
        <f t="shared" si="13"/>
        <v>Far North District</v>
      </c>
      <c r="AG10" s="42">
        <f t="shared" si="20"/>
        <v>0.57999999999999996</v>
      </c>
      <c r="AH10" s="18">
        <f t="shared" si="21"/>
        <v>0.66</v>
      </c>
      <c r="AI10" s="1"/>
      <c r="AJ10" s="1"/>
      <c r="AK10" s="1"/>
      <c r="AL10" s="1"/>
      <c r="AM10" s="1">
        <f>MIN(W6,Y6)</f>
        <v>481339.5</v>
      </c>
      <c r="AN10" s="1">
        <f>Y6-AM10</f>
        <v>0</v>
      </c>
      <c r="AO10" s="1">
        <f>W6-AM10</f>
        <v>145092.5</v>
      </c>
    </row>
    <row r="11" spans="1:41" x14ac:dyDescent="0.25">
      <c r="A11" s="94">
        <f t="shared" si="0"/>
        <v>9</v>
      </c>
      <c r="B11" s="95">
        <v>40</v>
      </c>
      <c r="C11">
        <f>MATCH(B11,Inputs!$A$4:$A$81,0)</f>
        <v>34</v>
      </c>
      <c r="D11" t="str">
        <f>INDEX(Inputs!$A$4:$S$81,Model!$C11,D$90)</f>
        <v>Tararua District</v>
      </c>
      <c r="E11">
        <f>INDEX(Inputs!$A$4:$S$81,Model!$C11,E$90)</f>
        <v>10733</v>
      </c>
      <c r="F11">
        <f>INDEX(Inputs!$A$4:$S$81,Model!$C11,F$90)</f>
        <v>1009.4808649390767</v>
      </c>
      <c r="G11">
        <f>INDEX(Inputs!$A$4:$S$81,Model!$C11,G$90)</f>
        <v>4.0528807321459421E-7</v>
      </c>
      <c r="H11" s="10">
        <f t="shared" si="1"/>
        <v>-0.41774069198654512</v>
      </c>
      <c r="I11" s="14">
        <f t="shared" si="2"/>
        <v>0.16748047161846977</v>
      </c>
      <c r="J11" s="14">
        <f t="shared" si="3"/>
        <v>1.2652418194864044</v>
      </c>
      <c r="K11" s="10">
        <f t="shared" si="4"/>
        <v>6.9336210525700821</v>
      </c>
      <c r="L11" s="14">
        <f t="shared" si="5"/>
        <v>2.1350259239059692</v>
      </c>
      <c r="M11" s="14">
        <f t="shared" si="6"/>
        <v>2.1520384260031484</v>
      </c>
      <c r="N11" s="14">
        <f t="shared" si="7"/>
        <v>11.2206854024792</v>
      </c>
      <c r="O11" s="14">
        <f t="shared" si="14"/>
        <v>0.64610261476981778</v>
      </c>
      <c r="P11" s="11">
        <f t="shared" si="15"/>
        <v>2.0816179555401764</v>
      </c>
      <c r="Q11" t="s">
        <v>146</v>
      </c>
      <c r="R11" s="15">
        <f>Calculation!B13</f>
        <v>0.85</v>
      </c>
      <c r="S11" s="26">
        <f t="shared" si="8"/>
        <v>0.65207042546561711</v>
      </c>
      <c r="T11" s="18">
        <f>INDEX(Inputs!R$4:R$81,Model!$C11)</f>
        <v>0.60564349976358844</v>
      </c>
      <c r="U11" s="10">
        <f>INDEX(Inputs!O$4:O$81,Model!$C11)</f>
        <v>43828229</v>
      </c>
      <c r="V11" s="14">
        <f>INDEX(Inputs!P$4:P$81,Model!$C11)</f>
        <v>26544282</v>
      </c>
      <c r="W11" s="11">
        <f>INDEX(Inputs!Q$4:Q$81,Model!$C11)</f>
        <v>17283947</v>
      </c>
      <c r="X11" s="10">
        <f t="shared" si="9"/>
        <v>28579091.931434497</v>
      </c>
      <c r="Y11" s="14">
        <f t="shared" si="10"/>
        <v>15249137.068565503</v>
      </c>
      <c r="Z11" s="14">
        <f t="shared" si="11"/>
        <v>2034809.9314344972</v>
      </c>
      <c r="AA11" s="11">
        <f t="shared" si="12"/>
        <v>-2034809.9314344972</v>
      </c>
      <c r="AB11" s="33">
        <f t="shared" si="16"/>
        <v>7.665718482927876E-2</v>
      </c>
      <c r="AC11" s="34">
        <f t="shared" si="17"/>
        <v>-0.11772831352899296</v>
      </c>
      <c r="AD11" s="26">
        <f t="shared" si="18"/>
        <v>-0.25570995443939731</v>
      </c>
      <c r="AE11" s="18">
        <f t="shared" si="19"/>
        <v>-0.25570995443939731</v>
      </c>
      <c r="AF11" s="10" t="str">
        <f t="shared" si="13"/>
        <v>Tararua District</v>
      </c>
      <c r="AG11" s="42">
        <f t="shared" si="20"/>
        <v>0.61</v>
      </c>
      <c r="AH11" s="18">
        <f t="shared" si="21"/>
        <v>0.65</v>
      </c>
      <c r="AI11" s="1"/>
      <c r="AJ11" s="1">
        <f>MIN(V7,X7)</f>
        <v>28714642</v>
      </c>
      <c r="AK11" s="1">
        <f>X7-AJ11</f>
        <v>2312442.4338995256</v>
      </c>
      <c r="AL11" s="1">
        <f>V7-AJ11</f>
        <v>0</v>
      </c>
      <c r="AM11" s="1"/>
      <c r="AN11" s="1"/>
      <c r="AO11" s="1"/>
    </row>
    <row r="12" spans="1:41" x14ac:dyDescent="0.25">
      <c r="A12" s="94">
        <f t="shared" si="0"/>
        <v>10</v>
      </c>
      <c r="B12" s="95">
        <v>26</v>
      </c>
      <c r="C12">
        <f>MATCH(B12,Inputs!$A$4:$A$81,0)</f>
        <v>20</v>
      </c>
      <c r="D12" t="str">
        <f>INDEX(Inputs!$A$4:$S$81,Model!$C12,D$90)</f>
        <v>Gisborne District</v>
      </c>
      <c r="E12">
        <f>INDEX(Inputs!$A$4:$S$81,Model!$C12,E$90)</f>
        <v>15807</v>
      </c>
      <c r="F12">
        <f>INDEX(Inputs!$A$4:$S$81,Model!$C12,F$90)</f>
        <v>1065.8685458612974</v>
      </c>
      <c r="G12">
        <f>INDEX(Inputs!$A$4:$S$81,Model!$C12,G$90)</f>
        <v>1.2996542461444002E-7</v>
      </c>
      <c r="H12" s="10">
        <f t="shared" si="1"/>
        <v>-0.34921066150020763</v>
      </c>
      <c r="I12" s="14">
        <f t="shared" si="2"/>
        <v>1.5139949777038262</v>
      </c>
      <c r="J12" s="14">
        <f t="shared" si="3"/>
        <v>-0.2482974469484166</v>
      </c>
      <c r="K12" s="10">
        <f t="shared" si="4"/>
        <v>6.8650910220837451</v>
      </c>
      <c r="L12" s="14">
        <f t="shared" si="5"/>
        <v>3.481540429991326</v>
      </c>
      <c r="M12" s="14">
        <f t="shared" si="6"/>
        <v>0.63849915956832748</v>
      </c>
      <c r="N12" s="14">
        <f t="shared" si="7"/>
        <v>10.985130611643399</v>
      </c>
      <c r="O12" s="14">
        <f t="shared" si="14"/>
        <v>0.62982173424402754</v>
      </c>
      <c r="P12" s="11">
        <f t="shared" si="15"/>
        <v>1.8460631647043755</v>
      </c>
      <c r="Q12" s="1" t="s">
        <v>110</v>
      </c>
      <c r="R12" s="15">
        <f>Calculation!B15</f>
        <v>0.51</v>
      </c>
      <c r="S12" s="26">
        <f t="shared" si="8"/>
        <v>0.63599381099107366</v>
      </c>
      <c r="T12" s="18">
        <f>INDEX(Inputs!R$4:R$81,Model!$C12)</f>
        <v>0.54578469618670611</v>
      </c>
      <c r="U12" s="10">
        <f>INDEX(Inputs!O$4:O$81,Model!$C12)</f>
        <v>38686737</v>
      </c>
      <c r="V12" s="14">
        <f>INDEX(Inputs!P$4:P$81,Model!$C12)</f>
        <v>21114629</v>
      </c>
      <c r="W12" s="11">
        <f>INDEX(Inputs!Q$4:Q$81,Model!$C12)</f>
        <v>17572108</v>
      </c>
      <c r="X12" s="10">
        <f t="shared" si="9"/>
        <v>24604525.299439374</v>
      </c>
      <c r="Y12" s="14">
        <f t="shared" si="10"/>
        <v>14082211.700560626</v>
      </c>
      <c r="Z12" s="14">
        <f t="shared" si="11"/>
        <v>3489896.2994393744</v>
      </c>
      <c r="AA12" s="11">
        <f t="shared" si="12"/>
        <v>-3489896.2994393744</v>
      </c>
      <c r="AB12" s="33">
        <f t="shared" si="16"/>
        <v>0.16528333504885992</v>
      </c>
      <c r="AC12" s="34">
        <f t="shared" si="17"/>
        <v>-0.19860430515447403</v>
      </c>
      <c r="AD12" s="26">
        <f t="shared" si="18"/>
        <v>-0.43856736196424007</v>
      </c>
      <c r="AE12" s="18">
        <f t="shared" si="19"/>
        <v>-0.43856736196424007</v>
      </c>
      <c r="AF12" s="10" t="str">
        <f t="shared" si="13"/>
        <v>Gisborne District</v>
      </c>
      <c r="AG12" s="42">
        <f t="shared" si="20"/>
        <v>0.55000000000000004</v>
      </c>
      <c r="AH12" s="18">
        <f t="shared" si="21"/>
        <v>0.64</v>
      </c>
      <c r="AI12" s="1"/>
      <c r="AJ12" s="1"/>
      <c r="AK12" s="1"/>
      <c r="AL12" s="1"/>
      <c r="AM12" s="1">
        <f>MIN(W7,Y7)</f>
        <v>12219900.566100474</v>
      </c>
      <c r="AN12" s="1">
        <f>Y7-AM12</f>
        <v>0</v>
      </c>
      <c r="AO12" s="1">
        <f>W7-AM12</f>
        <v>2312442.4338995256</v>
      </c>
    </row>
    <row r="13" spans="1:41" x14ac:dyDescent="0.25">
      <c r="A13" s="94">
        <f t="shared" si="0"/>
        <v>11</v>
      </c>
      <c r="B13" s="95">
        <v>63</v>
      </c>
      <c r="C13">
        <f>MATCH(B13,Inputs!$A$4:$A$81,0)</f>
        <v>56</v>
      </c>
      <c r="D13" t="str">
        <f>INDEX(Inputs!$A$4:$S$81,Model!$C13,D$90)</f>
        <v>Buller District</v>
      </c>
      <c r="E13">
        <f>INDEX(Inputs!$A$4:$S$81,Model!$C13,E$90)</f>
        <v>7364</v>
      </c>
      <c r="F13">
        <f>INDEX(Inputs!$A$4:$S$81,Model!$C13,F$90)</f>
        <v>1031.9764020839718</v>
      </c>
      <c r="G13">
        <f>INDEX(Inputs!$A$4:$S$81,Model!$C13,G$90)</f>
        <v>2.4857943676449338E-7</v>
      </c>
      <c r="H13" s="10">
        <f t="shared" si="1"/>
        <v>-0.46324279539775343</v>
      </c>
      <c r="I13" s="14">
        <f t="shared" si="2"/>
        <v>0.70466459751939214</v>
      </c>
      <c r="J13" s="14">
        <f t="shared" si="3"/>
        <v>0.40376283886993719</v>
      </c>
      <c r="K13" s="10">
        <f t="shared" si="4"/>
        <v>6.9791231559812905</v>
      </c>
      <c r="L13" s="14">
        <f t="shared" si="5"/>
        <v>2.6722100498068917</v>
      </c>
      <c r="M13" s="14">
        <f t="shared" si="6"/>
        <v>1.2905594453866813</v>
      </c>
      <c r="N13" s="14">
        <f t="shared" si="7"/>
        <v>10.941892651174864</v>
      </c>
      <c r="O13" s="14">
        <f t="shared" si="14"/>
        <v>0.62683324877926894</v>
      </c>
      <c r="P13" s="11">
        <f t="shared" si="15"/>
        <v>1.802825204235841</v>
      </c>
      <c r="Q13" s="1" t="s">
        <v>111</v>
      </c>
      <c r="R13" s="15">
        <f>Calculation!B14</f>
        <v>0.53</v>
      </c>
      <c r="S13" s="26">
        <f t="shared" si="8"/>
        <v>0.63304282018909619</v>
      </c>
      <c r="T13" s="18">
        <f>INDEX(Inputs!R$4:R$81,Model!$C13)</f>
        <v>0.6649368104687412</v>
      </c>
      <c r="U13" s="10">
        <f>INDEX(Inputs!O$4:O$81,Model!$C13)</f>
        <v>15749286</v>
      </c>
      <c r="V13" s="14">
        <f>INDEX(Inputs!P$4:P$81,Model!$C13)</f>
        <v>10472280</v>
      </c>
      <c r="W13" s="11">
        <f>INDEX(Inputs!Q$4:Q$81,Model!$C13)</f>
        <v>5277006</v>
      </c>
      <c r="X13" s="10">
        <f t="shared" si="9"/>
        <v>9969972.4254046492</v>
      </c>
      <c r="Y13" s="14">
        <f t="shared" si="10"/>
        <v>5779313.5745953508</v>
      </c>
      <c r="Z13" s="14">
        <f t="shared" si="11"/>
        <v>-502307.57459535077</v>
      </c>
      <c r="AA13" s="11">
        <f t="shared" si="12"/>
        <v>502307.57459535077</v>
      </c>
      <c r="AB13" s="33">
        <f t="shared" si="16"/>
        <v>-4.7965445403995194E-2</v>
      </c>
      <c r="AC13" s="34">
        <f t="shared" si="17"/>
        <v>9.5187986254961762E-2</v>
      </c>
      <c r="AD13" s="26">
        <f t="shared" si="18"/>
        <v>6.3123854975383531E-2</v>
      </c>
      <c r="AE13" s="18">
        <f t="shared" si="19"/>
        <v>6.3123854975383531E-2</v>
      </c>
      <c r="AF13" s="10" t="str">
        <f t="shared" si="13"/>
        <v>Buller District</v>
      </c>
      <c r="AG13" s="42">
        <f t="shared" si="20"/>
        <v>0.66</v>
      </c>
      <c r="AH13" s="18">
        <f t="shared" si="21"/>
        <v>0.63</v>
      </c>
      <c r="AI13" s="1"/>
      <c r="AJ13" s="1">
        <f>MIN(V8,X8)</f>
        <v>17892241</v>
      </c>
      <c r="AK13" s="1">
        <f>X8-AJ13</f>
        <v>3814958.4215899333</v>
      </c>
      <c r="AL13" s="1">
        <f>V8-AJ13</f>
        <v>0</v>
      </c>
      <c r="AM13" s="1"/>
      <c r="AN13" s="1"/>
      <c r="AO13" s="1"/>
    </row>
    <row r="14" spans="1:41" x14ac:dyDescent="0.25">
      <c r="A14" s="94">
        <f t="shared" si="0"/>
        <v>12</v>
      </c>
      <c r="B14" s="95">
        <v>38</v>
      </c>
      <c r="C14">
        <f>MATCH(B14,Inputs!$A$4:$A$81,0)</f>
        <v>32</v>
      </c>
      <c r="D14" t="str">
        <f>INDEX(Inputs!$A$4:$S$81,Model!$C14,D$90)</f>
        <v>Rangitikei District</v>
      </c>
      <c r="E14">
        <f>INDEX(Inputs!$A$4:$S$81,Model!$C14,E$90)</f>
        <v>8498</v>
      </c>
      <c r="F14">
        <f>INDEX(Inputs!$A$4:$S$81,Model!$C14,F$90)</f>
        <v>1005.5533227218464</v>
      </c>
      <c r="G14">
        <f>INDEX(Inputs!$A$4:$S$81,Model!$C14,G$90)</f>
        <v>3.4523391025740624E-7</v>
      </c>
      <c r="H14" s="10">
        <f t="shared" si="1"/>
        <v>-0.4479268603225649</v>
      </c>
      <c r="I14" s="14">
        <f t="shared" si="2"/>
        <v>7.369238737258553E-2</v>
      </c>
      <c r="J14" s="14">
        <f t="shared" si="3"/>
        <v>0.93510430914818454</v>
      </c>
      <c r="K14" s="10">
        <f t="shared" si="4"/>
        <v>6.9638072209061024</v>
      </c>
      <c r="L14" s="14">
        <f t="shared" si="5"/>
        <v>2.0412378396600852</v>
      </c>
      <c r="M14" s="14">
        <f t="shared" si="6"/>
        <v>1.8219009156649286</v>
      </c>
      <c r="N14" s="14">
        <f t="shared" si="7"/>
        <v>10.826945976231116</v>
      </c>
      <c r="O14" s="14">
        <f t="shared" si="14"/>
        <v>0.61888845990464769</v>
      </c>
      <c r="P14" s="11">
        <f t="shared" si="15"/>
        <v>1.6878785292920924</v>
      </c>
      <c r="S14" s="26">
        <f t="shared" si="8"/>
        <v>0.6251977096241853</v>
      </c>
      <c r="T14" s="18">
        <f>INDEX(Inputs!R$4:R$81,Model!$C14)</f>
        <v>0.6262879083749695</v>
      </c>
      <c r="U14" s="10">
        <f>INDEX(Inputs!O$4:O$81,Model!$C14)</f>
        <v>50121675</v>
      </c>
      <c r="V14" s="14">
        <f>INDEX(Inputs!P$4:P$81,Model!$C14)</f>
        <v>31390599</v>
      </c>
      <c r="W14" s="11">
        <f>INDEX(Inputs!Q$4:Q$81,Model!$C14)</f>
        <v>18731076</v>
      </c>
      <c r="X14" s="10">
        <f t="shared" si="9"/>
        <v>31335956.412527788</v>
      </c>
      <c r="Y14" s="14">
        <f t="shared" si="10"/>
        <v>18785718.587472212</v>
      </c>
      <c r="Z14" s="14">
        <f t="shared" si="11"/>
        <v>-54642.58747221157</v>
      </c>
      <c r="AA14" s="11">
        <f t="shared" si="12"/>
        <v>54642.58747221157</v>
      </c>
      <c r="AB14" s="33">
        <f t="shared" si="16"/>
        <v>-1.7407309580875334E-3</v>
      </c>
      <c r="AC14" s="34">
        <f t="shared" si="17"/>
        <v>2.9172156192314616E-3</v>
      </c>
      <c r="AD14" s="26">
        <f t="shared" si="18"/>
        <v>6.8668101807030108E-3</v>
      </c>
      <c r="AE14" s="18">
        <f t="shared" si="19"/>
        <v>6.8668101807030108E-3</v>
      </c>
      <c r="AF14" s="10" t="str">
        <f t="shared" si="13"/>
        <v>Rangitikei District</v>
      </c>
      <c r="AG14" s="42">
        <f t="shared" si="20"/>
        <v>0.63</v>
      </c>
      <c r="AH14" s="18">
        <f t="shared" si="21"/>
        <v>0.63</v>
      </c>
      <c r="AI14" s="1"/>
      <c r="AJ14" s="1"/>
      <c r="AK14" s="1"/>
      <c r="AL14" s="1"/>
      <c r="AM14" s="1">
        <f>MIN(W8,Y8)</f>
        <v>8764010.5784100667</v>
      </c>
      <c r="AN14" s="1">
        <f>Y8-AM14</f>
        <v>0</v>
      </c>
      <c r="AO14" s="1">
        <f>W8-AM14</f>
        <v>3814958.4215899333</v>
      </c>
    </row>
    <row r="15" spans="1:41" x14ac:dyDescent="0.25">
      <c r="A15" s="94">
        <f t="shared" si="0"/>
        <v>13</v>
      </c>
      <c r="B15" s="95">
        <v>15</v>
      </c>
      <c r="C15">
        <f>MATCH(B15,Inputs!$A$4:$A$81,0)</f>
        <v>9</v>
      </c>
      <c r="D15" t="str">
        <f>INDEX(Inputs!$A$4:$S$81,Model!$C15,D$90)</f>
        <v>South Waikato District</v>
      </c>
      <c r="E15">
        <f>INDEX(Inputs!$A$4:$S$81,Model!$C15,E$90)</f>
        <v>10130</v>
      </c>
      <c r="F15">
        <f>INDEX(Inputs!$A$4:$S$81,Model!$C15,F$90)</f>
        <v>1059.7516848107828</v>
      </c>
      <c r="G15">
        <f>INDEX(Inputs!$A$4:$S$81,Model!$C15,G$90)</f>
        <v>1.1326424556663488E-7</v>
      </c>
      <c r="H15" s="10">
        <f t="shared" si="1"/>
        <v>-0.42588487968525651</v>
      </c>
      <c r="I15" s="14">
        <f t="shared" si="2"/>
        <v>1.3679268649260088</v>
      </c>
      <c r="J15" s="14">
        <f t="shared" si="3"/>
        <v>-0.3401093280745574</v>
      </c>
      <c r="K15" s="10">
        <f t="shared" si="4"/>
        <v>6.9417652402687935</v>
      </c>
      <c r="L15" s="14">
        <f t="shared" si="5"/>
        <v>3.3354723172135081</v>
      </c>
      <c r="M15" s="14">
        <f t="shared" si="6"/>
        <v>0.54668727844218667</v>
      </c>
      <c r="N15" s="14">
        <f t="shared" si="7"/>
        <v>10.823924835924489</v>
      </c>
      <c r="O15" s="14">
        <f t="shared" si="14"/>
        <v>0.61867964723643865</v>
      </c>
      <c r="P15" s="11">
        <f t="shared" si="15"/>
        <v>1.6848573889854652</v>
      </c>
      <c r="Q15" s="1" t="s">
        <v>88</v>
      </c>
      <c r="R15" s="24">
        <f>Calculation!B23</f>
        <v>6.8250000000000005E-2</v>
      </c>
      <c r="S15" s="26">
        <f t="shared" si="8"/>
        <v>0.62499151679825804</v>
      </c>
      <c r="T15" s="18">
        <f>INDEX(Inputs!R$4:R$81,Model!$C15)</f>
        <v>0.50495113415912507</v>
      </c>
      <c r="U15" s="10">
        <f>INDEX(Inputs!O$4:O$81,Model!$C15)</f>
        <v>20185880</v>
      </c>
      <c r="V15" s="14">
        <f>INDEX(Inputs!P$4:P$81,Model!$C15)</f>
        <v>10192883</v>
      </c>
      <c r="W15" s="11">
        <f>INDEX(Inputs!Q$4:Q$81,Model!$C15)</f>
        <v>9992997</v>
      </c>
      <c r="X15" s="10">
        <f t="shared" si="9"/>
        <v>12616003.759107621</v>
      </c>
      <c r="Y15" s="14">
        <f t="shared" si="10"/>
        <v>7569876.2408923786</v>
      </c>
      <c r="Z15" s="14">
        <f t="shared" si="11"/>
        <v>2423120.7591076214</v>
      </c>
      <c r="AA15" s="11">
        <f t="shared" si="12"/>
        <v>-2423120.7591076214</v>
      </c>
      <c r="AB15" s="33">
        <f t="shared" si="16"/>
        <v>0.23772673139754683</v>
      </c>
      <c r="AC15" s="34">
        <f t="shared" si="17"/>
        <v>-0.24248188597551079</v>
      </c>
      <c r="AD15" s="26">
        <f t="shared" si="18"/>
        <v>-0.30450809647648597</v>
      </c>
      <c r="AE15" s="18">
        <f t="shared" si="19"/>
        <v>-0.30450809647648597</v>
      </c>
      <c r="AF15" s="10" t="str">
        <f t="shared" si="13"/>
        <v>South Waikato District</v>
      </c>
      <c r="AG15" s="42">
        <f t="shared" si="20"/>
        <v>0.5</v>
      </c>
      <c r="AH15" s="18">
        <f t="shared" si="21"/>
        <v>0.62</v>
      </c>
      <c r="AI15" s="1"/>
      <c r="AJ15" s="1">
        <f>MIN(V9,X9)</f>
        <v>48898923</v>
      </c>
      <c r="AK15" s="1">
        <f>X9-AJ15</f>
        <v>6363653.5344882384</v>
      </c>
      <c r="AL15" s="1">
        <f>V9-AJ15</f>
        <v>0</v>
      </c>
      <c r="AM15" s="1"/>
      <c r="AN15" s="1"/>
      <c r="AO15" s="1"/>
    </row>
    <row r="16" spans="1:41" x14ac:dyDescent="0.25">
      <c r="A16" s="94">
        <f t="shared" si="0"/>
        <v>14</v>
      </c>
      <c r="B16" s="95">
        <v>2</v>
      </c>
      <c r="C16">
        <f>MATCH(B16,Inputs!$A$4:$A$81,0)</f>
        <v>2</v>
      </c>
      <c r="D16" t="str">
        <f>INDEX(Inputs!$A$4:$S$81,Model!$C16,D$90)</f>
        <v>Kaipara District</v>
      </c>
      <c r="E16">
        <f>INDEX(Inputs!$A$4:$S$81,Model!$C16,E$90)</f>
        <v>14146</v>
      </c>
      <c r="F16">
        <f>INDEX(Inputs!$A$4:$S$81,Model!$C16,F$90)</f>
        <v>1020.0784638304916</v>
      </c>
      <c r="G16">
        <f>INDEX(Inputs!$A$4:$S$81,Model!$C16,G$90)</f>
        <v>2.5325261501139146E-7</v>
      </c>
      <c r="H16" s="10">
        <f t="shared" si="1"/>
        <v>-0.37164431948952698</v>
      </c>
      <c r="I16" s="14">
        <f t="shared" si="2"/>
        <v>0.42054675140833359</v>
      </c>
      <c r="J16" s="14">
        <f t="shared" si="3"/>
        <v>0.42945283862728117</v>
      </c>
      <c r="K16" s="10">
        <f t="shared" si="4"/>
        <v>6.8875246800730645</v>
      </c>
      <c r="L16" s="14">
        <f t="shared" si="5"/>
        <v>2.388092203695833</v>
      </c>
      <c r="M16" s="14">
        <f t="shared" si="6"/>
        <v>1.3162494451440252</v>
      </c>
      <c r="N16" s="14">
        <f t="shared" si="7"/>
        <v>10.591866328912923</v>
      </c>
      <c r="O16" s="14">
        <f t="shared" si="14"/>
        <v>0.60264041995414497</v>
      </c>
      <c r="P16" s="11">
        <f t="shared" si="15"/>
        <v>1.4527988819738997</v>
      </c>
      <c r="S16" s="26">
        <f t="shared" si="8"/>
        <v>0.60915352369471865</v>
      </c>
      <c r="T16" s="18">
        <f>INDEX(Inputs!R$4:R$81,Model!$C16)</f>
        <v>0.6113822161459006</v>
      </c>
      <c r="U16" s="10">
        <f>INDEX(Inputs!O$4:O$81,Model!$C16)</f>
        <v>57286120</v>
      </c>
      <c r="V16" s="14">
        <f>INDEX(Inputs!P$4:P$81,Model!$C16)</f>
        <v>35023715</v>
      </c>
      <c r="W16" s="11">
        <f>INDEX(Inputs!Q$4:Q$81,Model!$C16)</f>
        <v>22262405</v>
      </c>
      <c r="X16" s="10">
        <f t="shared" si="9"/>
        <v>34896041.856798492</v>
      </c>
      <c r="Y16" s="14">
        <f t="shared" si="10"/>
        <v>22390078.143201508</v>
      </c>
      <c r="Z16" s="14">
        <f t="shared" si="11"/>
        <v>-127673.14320150763</v>
      </c>
      <c r="AA16" s="11">
        <f t="shared" si="12"/>
        <v>127673.14320150763</v>
      </c>
      <c r="AB16" s="33">
        <f t="shared" si="16"/>
        <v>-3.6453341172262175E-3</v>
      </c>
      <c r="AC16" s="34">
        <f t="shared" si="17"/>
        <v>5.7349214157907747E-3</v>
      </c>
      <c r="AD16" s="26">
        <f t="shared" si="18"/>
        <v>1.6044394676301053E-2</v>
      </c>
      <c r="AE16" s="18">
        <f t="shared" si="19"/>
        <v>1.6044394676301053E-2</v>
      </c>
      <c r="AF16" s="10" t="str">
        <f t="shared" si="13"/>
        <v>Kaipara District</v>
      </c>
      <c r="AG16" s="42">
        <f t="shared" si="20"/>
        <v>0.61</v>
      </c>
      <c r="AH16" s="18">
        <f t="shared" si="21"/>
        <v>0.61</v>
      </c>
      <c r="AI16" s="1"/>
      <c r="AJ16" s="1"/>
      <c r="AK16" s="1"/>
      <c r="AL16" s="1"/>
      <c r="AM16" s="1">
        <f>MIN(W9,Y9)</f>
        <v>26756463.465511762</v>
      </c>
      <c r="AN16" s="1">
        <f>Y9-AM16</f>
        <v>0</v>
      </c>
      <c r="AO16" s="1">
        <f>W9-AM16</f>
        <v>6363653.5344882384</v>
      </c>
    </row>
    <row r="17" spans="1:41" x14ac:dyDescent="0.25">
      <c r="A17" s="94">
        <f t="shared" si="0"/>
        <v>15</v>
      </c>
      <c r="B17" s="95">
        <v>41</v>
      </c>
      <c r="C17">
        <f>MATCH(B17,Inputs!$A$4:$A$81,0)</f>
        <v>35</v>
      </c>
      <c r="D17" t="str">
        <f>INDEX(Inputs!$A$4:$S$81,Model!$C17,D$90)</f>
        <v>Wanganui District</v>
      </c>
      <c r="E17">
        <f>INDEX(Inputs!$A$4:$S$81,Model!$C17,E$90)</f>
        <v>20913</v>
      </c>
      <c r="F17">
        <f>INDEX(Inputs!$A$4:$S$81,Model!$C17,F$90)</f>
        <v>1045.8056982061203</v>
      </c>
      <c r="G17">
        <f>INDEX(Inputs!$A$4:$S$81,Model!$C17,G$90)</f>
        <v>1.4469119954300015E-7</v>
      </c>
      <c r="H17" s="10">
        <f t="shared" si="1"/>
        <v>-0.28024843531509935</v>
      </c>
      <c r="I17" s="14">
        <f t="shared" si="2"/>
        <v>1.0349024709852028</v>
      </c>
      <c r="J17" s="14">
        <f t="shared" si="3"/>
        <v>-0.1673450127902458</v>
      </c>
      <c r="K17" s="10">
        <f t="shared" si="4"/>
        <v>6.7961287958986372</v>
      </c>
      <c r="L17" s="14">
        <f t="shared" si="5"/>
        <v>3.0024479232727024</v>
      </c>
      <c r="M17" s="14">
        <f t="shared" si="6"/>
        <v>0.71945159372649825</v>
      </c>
      <c r="N17" s="14">
        <f t="shared" si="7"/>
        <v>10.518028312897838</v>
      </c>
      <c r="O17" s="14">
        <f t="shared" si="14"/>
        <v>0.59753694524774015</v>
      </c>
      <c r="P17" s="11">
        <f t="shared" si="15"/>
        <v>1.3789608659588151</v>
      </c>
      <c r="Q17" s="1" t="s">
        <v>118</v>
      </c>
      <c r="R17" s="1"/>
      <c r="S17" s="26">
        <f t="shared" si="8"/>
        <v>0.60411407910168913</v>
      </c>
      <c r="T17" s="18">
        <f>INDEX(Inputs!R$4:R$81,Model!$C17)</f>
        <v>0.64047887401950632</v>
      </c>
      <c r="U17" s="10">
        <f>INDEX(Inputs!O$4:O$81,Model!$C17)</f>
        <v>45283058</v>
      </c>
      <c r="V17" s="14">
        <f>INDEX(Inputs!P$4:P$81,Model!$C17)</f>
        <v>29002842</v>
      </c>
      <c r="W17" s="11">
        <f>INDEX(Inputs!Q$4:Q$81,Model!$C17)</f>
        <v>16280216</v>
      </c>
      <c r="X17" s="10">
        <f t="shared" si="9"/>
        <v>27356132.882578377</v>
      </c>
      <c r="Y17" s="14">
        <f t="shared" si="10"/>
        <v>17926925.117421623</v>
      </c>
      <c r="Z17" s="14">
        <f t="shared" si="11"/>
        <v>-1646709.1174216233</v>
      </c>
      <c r="AA17" s="11">
        <f t="shared" si="12"/>
        <v>1646709.1174216233</v>
      </c>
      <c r="AB17" s="33">
        <f t="shared" si="16"/>
        <v>-5.6777508818674507E-2</v>
      </c>
      <c r="AC17" s="34">
        <f t="shared" si="17"/>
        <v>0.10114786667582441</v>
      </c>
      <c r="AD17" s="26">
        <f t="shared" si="18"/>
        <v>0.20693820434322882</v>
      </c>
      <c r="AE17" s="18">
        <f t="shared" si="19"/>
        <v>0.20693820434322882</v>
      </c>
      <c r="AF17" s="10" t="str">
        <f t="shared" si="13"/>
        <v>Wanganui District</v>
      </c>
      <c r="AG17" s="42">
        <f t="shared" si="20"/>
        <v>0.64</v>
      </c>
      <c r="AH17" s="18">
        <f t="shared" si="21"/>
        <v>0.6</v>
      </c>
      <c r="AI17" s="1"/>
      <c r="AJ17" s="1">
        <f>MIN(V10,X10)</f>
        <v>56531790</v>
      </c>
      <c r="AK17" s="1">
        <f>X10-AJ17</f>
        <v>7841163.1457980424</v>
      </c>
      <c r="AL17" s="1">
        <f>V10-AJ17</f>
        <v>0</v>
      </c>
      <c r="AM17" s="1"/>
      <c r="AN17" s="1"/>
      <c r="AO17" s="1"/>
    </row>
    <row r="18" spans="1:41" x14ac:dyDescent="0.25">
      <c r="A18" s="94">
        <f t="shared" si="0"/>
        <v>16</v>
      </c>
      <c r="B18" s="95">
        <v>12</v>
      </c>
      <c r="C18">
        <f>MATCH(B18,Inputs!$A$4:$A$81,0)</f>
        <v>6</v>
      </c>
      <c r="D18" t="str">
        <f>INDEX(Inputs!$A$4:$S$81,Model!$C18,D$90)</f>
        <v>Hauraki District</v>
      </c>
      <c r="E18">
        <f>INDEX(Inputs!$A$4:$S$81,Model!$C18,E$90)</f>
        <v>11025</v>
      </c>
      <c r="F18">
        <f>INDEX(Inputs!$A$4:$S$81,Model!$C18,F$90)</f>
        <v>1040.2874231032126</v>
      </c>
      <c r="G18">
        <f>INDEX(Inputs!$A$4:$S$81,Model!$C18,G$90)</f>
        <v>1.2490651228338821E-7</v>
      </c>
      <c r="H18" s="10">
        <f t="shared" si="1"/>
        <v>-0.413796906235262</v>
      </c>
      <c r="I18" s="14">
        <f t="shared" si="2"/>
        <v>0.90312834314185186</v>
      </c>
      <c r="J18" s="14">
        <f t="shared" si="3"/>
        <v>-0.27610795399325527</v>
      </c>
      <c r="K18" s="10">
        <f t="shared" si="4"/>
        <v>6.9296772668187998</v>
      </c>
      <c r="L18" s="14">
        <f t="shared" si="5"/>
        <v>2.8706737954293513</v>
      </c>
      <c r="M18" s="14">
        <f t="shared" si="6"/>
        <v>0.61068865252348881</v>
      </c>
      <c r="N18" s="14">
        <f t="shared" si="7"/>
        <v>10.41103971477164</v>
      </c>
      <c r="O18" s="14">
        <f t="shared" si="14"/>
        <v>0.59014219612150132</v>
      </c>
      <c r="P18" s="11">
        <f t="shared" si="15"/>
        <v>1.2719722678326164</v>
      </c>
      <c r="Q18" s="1" t="s">
        <v>111</v>
      </c>
      <c r="R18" s="2">
        <f>X81/U81</f>
        <v>0.52995772678918829</v>
      </c>
      <c r="S18" s="26">
        <f t="shared" si="8"/>
        <v>0.59681210727957612</v>
      </c>
      <c r="T18" s="18">
        <f>INDEX(Inputs!R$4:R$81,Model!$C18)</f>
        <v>0.54363801357012054</v>
      </c>
      <c r="U18" s="10">
        <f>INDEX(Inputs!O$4:O$81,Model!$C18)</f>
        <v>20845476.009999998</v>
      </c>
      <c r="V18" s="14">
        <f>INDEX(Inputs!P$4:P$81,Model!$C18)</f>
        <v>11332393.17</v>
      </c>
      <c r="W18" s="11">
        <f>INDEX(Inputs!Q$4:Q$81,Model!$C18)</f>
        <v>9513082.839999998</v>
      </c>
      <c r="X18" s="10">
        <f t="shared" si="9"/>
        <v>12440832.464773949</v>
      </c>
      <c r="Y18" s="14">
        <f t="shared" si="10"/>
        <v>8404643.5452260487</v>
      </c>
      <c r="Z18" s="14">
        <f t="shared" si="11"/>
        <v>1108439.2947739493</v>
      </c>
      <c r="AA18" s="11">
        <f t="shared" si="12"/>
        <v>-1108439.2947739493</v>
      </c>
      <c r="AB18" s="33">
        <f t="shared" si="16"/>
        <v>9.7811581203191639E-2</v>
      </c>
      <c r="AC18" s="34">
        <f t="shared" si="17"/>
        <v>-0.11651735966318459</v>
      </c>
      <c r="AD18" s="26">
        <f t="shared" si="18"/>
        <v>-0.13929505512373133</v>
      </c>
      <c r="AE18" s="18">
        <f t="shared" si="19"/>
        <v>-0.13929505512373133</v>
      </c>
      <c r="AF18" s="10" t="str">
        <f t="shared" si="13"/>
        <v>Hauraki District</v>
      </c>
      <c r="AG18" s="42">
        <f t="shared" si="20"/>
        <v>0.54</v>
      </c>
      <c r="AH18" s="18">
        <f t="shared" si="21"/>
        <v>0.6</v>
      </c>
      <c r="AI18" s="1"/>
      <c r="AJ18" s="1"/>
      <c r="AK18" s="1"/>
      <c r="AL18" s="1"/>
      <c r="AM18" s="1">
        <f>MIN(W10,Y10)</f>
        <v>33272233.854201958</v>
      </c>
      <c r="AN18" s="1">
        <f>Y10-AM18</f>
        <v>0</v>
      </c>
      <c r="AO18" s="1">
        <f>W10-AM18</f>
        <v>7841163.1457980424</v>
      </c>
    </row>
    <row r="19" spans="1:41" x14ac:dyDescent="0.25">
      <c r="A19" s="94">
        <f t="shared" si="0"/>
        <v>17</v>
      </c>
      <c r="B19" s="95">
        <v>62</v>
      </c>
      <c r="C19">
        <f>MATCH(B19,Inputs!$A$4:$A$81,0)</f>
        <v>55</v>
      </c>
      <c r="D19" t="str">
        <f>INDEX(Inputs!$A$4:$S$81,Model!$C19,D$90)</f>
        <v>Waimate District</v>
      </c>
      <c r="E19">
        <f>INDEX(Inputs!$A$4:$S$81,Model!$C19,E$90)</f>
        <v>4455</v>
      </c>
      <c r="F19">
        <f>INDEX(Inputs!$A$4:$S$81,Model!$C19,F$90)</f>
        <v>987.6780159730979</v>
      </c>
      <c r="G19">
        <f>INDEX(Inputs!$A$4:$S$81,Model!$C19,G$90)</f>
        <v>3.3690382417500824E-7</v>
      </c>
      <c r="H19" s="10">
        <f t="shared" si="1"/>
        <v>-0.50253208563913221</v>
      </c>
      <c r="I19" s="14">
        <f t="shared" si="2"/>
        <v>-0.35316254697230709</v>
      </c>
      <c r="J19" s="14">
        <f t="shared" si="3"/>
        <v>0.88931108275509618</v>
      </c>
      <c r="K19" s="10">
        <f t="shared" si="4"/>
        <v>7.0184124462226691</v>
      </c>
      <c r="L19" s="14">
        <f t="shared" si="5"/>
        <v>1.6143829053151926</v>
      </c>
      <c r="M19" s="14">
        <f t="shared" si="6"/>
        <v>1.7761076892718402</v>
      </c>
      <c r="N19" s="14">
        <f t="shared" si="7"/>
        <v>10.408903040809701</v>
      </c>
      <c r="O19" s="14">
        <f t="shared" si="14"/>
        <v>0.58999451526400959</v>
      </c>
      <c r="P19" s="11">
        <f t="shared" si="15"/>
        <v>1.2698355938706776</v>
      </c>
      <c r="Q19" s="1" t="s">
        <v>119</v>
      </c>
      <c r="R19" s="25">
        <f>R18-R13</f>
        <v>-4.2273210811738515E-5</v>
      </c>
      <c r="S19" s="26">
        <f t="shared" si="8"/>
        <v>0.59666627928167371</v>
      </c>
      <c r="T19" s="18">
        <f>INDEX(Inputs!R$4:R$81,Model!$C19)</f>
        <v>0.5246675074454874</v>
      </c>
      <c r="U19" s="10">
        <f>INDEX(Inputs!O$4:O$81,Model!$C19)</f>
        <v>12405165</v>
      </c>
      <c r="V19" s="14">
        <f>INDEX(Inputs!P$4:P$81,Model!$C19)</f>
        <v>6508587</v>
      </c>
      <c r="W19" s="11">
        <f>INDEX(Inputs!Q$4:Q$81,Model!$C19)</f>
        <v>5896578</v>
      </c>
      <c r="X19" s="10">
        <f t="shared" si="9"/>
        <v>7401743.6444252441</v>
      </c>
      <c r="Y19" s="14">
        <f t="shared" si="10"/>
        <v>5003421.3555747559</v>
      </c>
      <c r="Z19" s="14">
        <f t="shared" si="11"/>
        <v>893156.64442524407</v>
      </c>
      <c r="AA19" s="11">
        <f t="shared" si="12"/>
        <v>-893156.64442524407</v>
      </c>
      <c r="AB19" s="33">
        <f t="shared" si="16"/>
        <v>0.13722742654054468</v>
      </c>
      <c r="AC19" s="34">
        <f t="shared" si="17"/>
        <v>-0.15147033490021569</v>
      </c>
      <c r="AD19" s="26">
        <f t="shared" si="18"/>
        <v>-0.11224097215419759</v>
      </c>
      <c r="AE19" s="18">
        <f t="shared" si="19"/>
        <v>-0.11224097215419759</v>
      </c>
      <c r="AF19" s="10" t="str">
        <f t="shared" si="13"/>
        <v>Waimate District</v>
      </c>
      <c r="AG19" s="42">
        <f t="shared" si="20"/>
        <v>0.52</v>
      </c>
      <c r="AH19" s="18">
        <f t="shared" si="21"/>
        <v>0.6</v>
      </c>
      <c r="AI19" s="1"/>
      <c r="AJ19" s="1">
        <f>MIN(V11,X11)</f>
        <v>26544282</v>
      </c>
      <c r="AK19" s="1">
        <f>X11-AJ19</f>
        <v>2034809.9314344972</v>
      </c>
      <c r="AL19" s="1">
        <f>V11-AJ19</f>
        <v>0</v>
      </c>
      <c r="AM19" s="1"/>
      <c r="AN19" s="1"/>
      <c r="AO19" s="1"/>
    </row>
    <row r="20" spans="1:41" x14ac:dyDescent="0.25">
      <c r="A20" s="94">
        <f t="shared" si="0"/>
        <v>18</v>
      </c>
      <c r="B20" s="95">
        <v>28</v>
      </c>
      <c r="C20">
        <f>MATCH(B20,Inputs!$A$4:$A$81,0)</f>
        <v>22</v>
      </c>
      <c r="D20" t="str">
        <f>INDEX(Inputs!$A$4:$S$81,Model!$C20,D$90)</f>
        <v>Central Hawke's Bay District</v>
      </c>
      <c r="E20">
        <f>INDEX(Inputs!$A$4:$S$81,Model!$C20,E$90)</f>
        <v>7661</v>
      </c>
      <c r="F20">
        <f>INDEX(Inputs!$A$4:$S$81,Model!$C20,F$90)</f>
        <v>993.28420326511844</v>
      </c>
      <c r="G20">
        <f>INDEX(Inputs!$A$4:$S$81,Model!$C20,G$90)</f>
        <v>3.1716900421331901E-7</v>
      </c>
      <c r="H20" s="10">
        <f t="shared" si="1"/>
        <v>-0.4592314790685374</v>
      </c>
      <c r="I20" s="14">
        <f t="shared" si="2"/>
        <v>-0.21928911240156085</v>
      </c>
      <c r="J20" s="14">
        <f t="shared" si="3"/>
        <v>0.78082227851067254</v>
      </c>
      <c r="K20" s="10">
        <f t="shared" si="4"/>
        <v>6.975111839652075</v>
      </c>
      <c r="L20" s="14">
        <f t="shared" si="5"/>
        <v>1.7482563398859388</v>
      </c>
      <c r="M20" s="14">
        <f t="shared" si="6"/>
        <v>1.6676188850274167</v>
      </c>
      <c r="N20" s="14">
        <f t="shared" si="7"/>
        <v>10.390987064565429</v>
      </c>
      <c r="O20" s="14">
        <f t="shared" si="14"/>
        <v>0.58875621368796904</v>
      </c>
      <c r="P20" s="11">
        <f t="shared" si="15"/>
        <v>1.251919617626406</v>
      </c>
      <c r="Q20" s="1"/>
      <c r="R20" s="1"/>
      <c r="S20" s="26">
        <f t="shared" si="8"/>
        <v>0.59544351390300221</v>
      </c>
      <c r="T20" s="18">
        <f>INDEX(Inputs!R$4:R$81,Model!$C20)</f>
        <v>0.58105518502968545</v>
      </c>
      <c r="U20" s="10">
        <f>INDEX(Inputs!O$4:O$81,Model!$C20)</f>
        <v>38963991</v>
      </c>
      <c r="V20" s="14">
        <f>INDEX(Inputs!P$4:P$81,Model!$C20)</f>
        <v>22640229</v>
      </c>
      <c r="W20" s="11">
        <f>INDEX(Inputs!Q$4:Q$81,Model!$C20)</f>
        <v>16323762</v>
      </c>
      <c r="X20" s="10">
        <f t="shared" si="9"/>
        <v>23200855.716724955</v>
      </c>
      <c r="Y20" s="14">
        <f t="shared" si="10"/>
        <v>15763135.283275045</v>
      </c>
      <c r="Z20" s="14">
        <f t="shared" si="11"/>
        <v>560626.71672495455</v>
      </c>
      <c r="AA20" s="11">
        <f t="shared" si="12"/>
        <v>-560626.71672495455</v>
      </c>
      <c r="AB20" s="33">
        <f t="shared" si="16"/>
        <v>2.4762413698419507E-2</v>
      </c>
      <c r="AC20" s="34">
        <f t="shared" si="17"/>
        <v>-3.4344210404743378E-2</v>
      </c>
      <c r="AD20" s="26">
        <f t="shared" si="18"/>
        <v>-7.045268945104019E-2</v>
      </c>
      <c r="AE20" s="18">
        <f t="shared" si="19"/>
        <v>-7.045268945104019E-2</v>
      </c>
      <c r="AF20" s="10" t="str">
        <f t="shared" si="13"/>
        <v>Central Hawke's Bay District</v>
      </c>
      <c r="AG20" s="42">
        <f t="shared" si="20"/>
        <v>0.57999999999999996</v>
      </c>
      <c r="AH20" s="18">
        <f t="shared" si="21"/>
        <v>0.6</v>
      </c>
      <c r="AI20" s="1"/>
      <c r="AJ20" s="1"/>
      <c r="AK20" s="1"/>
      <c r="AL20" s="1"/>
      <c r="AM20" s="1">
        <f>MIN(W11,Y11)</f>
        <v>15249137.068565503</v>
      </c>
      <c r="AN20" s="1">
        <f>Y11-AM20</f>
        <v>0</v>
      </c>
      <c r="AO20" s="1">
        <f>W11-AM20</f>
        <v>2034809.9314344972</v>
      </c>
    </row>
    <row r="21" spans="1:41" x14ac:dyDescent="0.25">
      <c r="A21" s="94">
        <f t="shared" si="0"/>
        <v>19</v>
      </c>
      <c r="B21" s="95">
        <v>35</v>
      </c>
      <c r="C21">
        <f>MATCH(B21,Inputs!$A$4:$A$81,0)</f>
        <v>29</v>
      </c>
      <c r="D21" t="str">
        <f>INDEX(Inputs!$A$4:$S$81,Model!$C21,D$90)</f>
        <v>Horowhenua District</v>
      </c>
      <c r="E21">
        <f>INDEX(Inputs!$A$4:$S$81,Model!$C21,E$90)</f>
        <v>17608</v>
      </c>
      <c r="F21">
        <f>INDEX(Inputs!$A$4:$S$81,Model!$C21,F$90)</f>
        <v>1044.1223832528181</v>
      </c>
      <c r="G21">
        <f>INDEX(Inputs!$A$4:$S$81,Model!$C21,G$90)</f>
        <v>1.077666670521288E-7</v>
      </c>
      <c r="H21" s="10">
        <f t="shared" si="1"/>
        <v>-0.32488614732876619</v>
      </c>
      <c r="I21" s="14">
        <f t="shared" si="2"/>
        <v>0.99470560589230583</v>
      </c>
      <c r="J21" s="14">
        <f t="shared" si="3"/>
        <v>-0.37033132758792653</v>
      </c>
      <c r="K21" s="10">
        <f t="shared" si="4"/>
        <v>6.8407665079123037</v>
      </c>
      <c r="L21" s="14">
        <f t="shared" si="5"/>
        <v>2.9622510581798052</v>
      </c>
      <c r="M21" s="14">
        <f t="shared" si="6"/>
        <v>0.51646527892881755</v>
      </c>
      <c r="N21" s="14">
        <f t="shared" si="7"/>
        <v>10.319482845020927</v>
      </c>
      <c r="O21" s="14">
        <f t="shared" si="14"/>
        <v>0.58381404438899942</v>
      </c>
      <c r="P21" s="11">
        <f t="shared" si="15"/>
        <v>1.1804153980819034</v>
      </c>
      <c r="Q21" s="1" t="s">
        <v>123</v>
      </c>
      <c r="R21" s="4">
        <f>ABS(R19)</f>
        <v>4.2273210811738515E-5</v>
      </c>
      <c r="S21" s="26">
        <f t="shared" si="8"/>
        <v>0.59056335091908996</v>
      </c>
      <c r="T21" s="18">
        <f>INDEX(Inputs!R$4:R$81,Model!$C21)</f>
        <v>0.4766246626319024</v>
      </c>
      <c r="U21" s="10">
        <f>INDEX(Inputs!O$4:O$81,Model!$C21)</f>
        <v>16626498</v>
      </c>
      <c r="V21" s="14">
        <f>INDEX(Inputs!P$4:P$81,Model!$C21)</f>
        <v>7924599</v>
      </c>
      <c r="W21" s="11">
        <f>INDEX(Inputs!Q$4:Q$81,Model!$C21)</f>
        <v>8701899</v>
      </c>
      <c r="X21" s="10">
        <f t="shared" si="9"/>
        <v>9819000.372929547</v>
      </c>
      <c r="Y21" s="14">
        <f t="shared" si="10"/>
        <v>6807497.627070453</v>
      </c>
      <c r="Z21" s="14">
        <f t="shared" si="11"/>
        <v>1894401.372929547</v>
      </c>
      <c r="AA21" s="11">
        <f t="shared" si="12"/>
        <v>-1894401.372929547</v>
      </c>
      <c r="AB21" s="33">
        <f t="shared" si="16"/>
        <v>0.23905327864912118</v>
      </c>
      <c r="AC21" s="34">
        <f t="shared" si="17"/>
        <v>-0.21769976564075808</v>
      </c>
      <c r="AD21" s="26">
        <f t="shared" si="18"/>
        <v>-0.23806512897263205</v>
      </c>
      <c r="AE21" s="18">
        <f t="shared" si="19"/>
        <v>-0.23806512897263205</v>
      </c>
      <c r="AF21" s="10" t="str">
        <f t="shared" si="13"/>
        <v>Horowhenua District</v>
      </c>
      <c r="AG21" s="42">
        <f t="shared" si="20"/>
        <v>0.48</v>
      </c>
      <c r="AH21" s="18">
        <f t="shared" si="21"/>
        <v>0.59</v>
      </c>
      <c r="AI21" s="1"/>
      <c r="AJ21" s="1">
        <f>MIN(V12,X12)</f>
        <v>21114629</v>
      </c>
      <c r="AK21" s="1">
        <f>X12-AJ21</f>
        <v>3489896.2994393744</v>
      </c>
      <c r="AL21" s="1">
        <f>V12-AJ21</f>
        <v>0</v>
      </c>
      <c r="AM21" s="1"/>
      <c r="AN21" s="1"/>
      <c r="AO21" s="1"/>
    </row>
    <row r="22" spans="1:41" x14ac:dyDescent="0.25">
      <c r="A22" s="94">
        <f t="shared" si="0"/>
        <v>20</v>
      </c>
      <c r="B22" s="95">
        <v>67</v>
      </c>
      <c r="C22">
        <f>MATCH(B22,Inputs!$A$4:$A$81,0)</f>
        <v>60</v>
      </c>
      <c r="D22" t="str">
        <f>INDEX(Inputs!$A$4:$S$81,Model!$C22,D$90)</f>
        <v>Clutha District</v>
      </c>
      <c r="E22">
        <f>INDEX(Inputs!$A$4:$S$81,Model!$C22,E$90)</f>
        <v>12003</v>
      </c>
      <c r="F22">
        <f>INDEX(Inputs!$A$4:$S$81,Model!$C22,F$90)</f>
        <v>967.42468876030159</v>
      </c>
      <c r="G22">
        <f>INDEX(Inputs!$A$4:$S$81,Model!$C22,G$90)</f>
        <v>4.1482404244097494E-7</v>
      </c>
      <c r="H22" s="10">
        <f t="shared" si="1"/>
        <v>-0.40058792519158087</v>
      </c>
      <c r="I22" s="14">
        <f t="shared" si="2"/>
        <v>-0.83680362677022913</v>
      </c>
      <c r="J22" s="14">
        <f t="shared" si="3"/>
        <v>1.3176641826338771</v>
      </c>
      <c r="K22" s="10">
        <f t="shared" si="4"/>
        <v>6.9164682857751183</v>
      </c>
      <c r="L22" s="14">
        <f t="shared" si="5"/>
        <v>1.1307418255172705</v>
      </c>
      <c r="M22" s="14">
        <f t="shared" si="6"/>
        <v>2.2044607891506214</v>
      </c>
      <c r="N22" s="14">
        <f t="shared" si="7"/>
        <v>10.25167090044301</v>
      </c>
      <c r="O22" s="14">
        <f t="shared" si="14"/>
        <v>0.57912707468663327</v>
      </c>
      <c r="P22" s="11">
        <f t="shared" si="15"/>
        <v>1.1126034535039864</v>
      </c>
      <c r="S22" s="26">
        <f t="shared" si="8"/>
        <v>0.58593518570164704</v>
      </c>
      <c r="T22" s="18">
        <f>INDEX(Inputs!R$4:R$81,Model!$C22)</f>
        <v>0.61395645435790935</v>
      </c>
      <c r="U22" s="10">
        <f>INDEX(Inputs!O$4:O$81,Model!$C22)</f>
        <v>54556550</v>
      </c>
      <c r="V22" s="14">
        <f>INDEX(Inputs!P$4:P$81,Model!$C22)</f>
        <v>33495346</v>
      </c>
      <c r="W22" s="11">
        <f>INDEX(Inputs!Q$4:Q$81,Model!$C22)</f>
        <v>21061204</v>
      </c>
      <c r="X22" s="10">
        <f t="shared" si="9"/>
        <v>31966602.255491193</v>
      </c>
      <c r="Y22" s="14">
        <f t="shared" si="10"/>
        <v>22589947.744508807</v>
      </c>
      <c r="Z22" s="14">
        <f t="shared" si="11"/>
        <v>-1528743.7445088066</v>
      </c>
      <c r="AA22" s="11">
        <f t="shared" si="12"/>
        <v>1528743.7445088066</v>
      </c>
      <c r="AB22" s="33">
        <f t="shared" si="16"/>
        <v>-4.5640482248154909E-2</v>
      </c>
      <c r="AC22" s="34">
        <f t="shared" si="17"/>
        <v>7.2585771663804532E-2</v>
      </c>
      <c r="AD22" s="26">
        <f t="shared" si="18"/>
        <v>0.19211376316719364</v>
      </c>
      <c r="AE22" s="18">
        <f t="shared" si="19"/>
        <v>0.19211376316719364</v>
      </c>
      <c r="AF22" s="10" t="str">
        <f t="shared" si="13"/>
        <v>Clutha District</v>
      </c>
      <c r="AG22" s="42">
        <f t="shared" si="20"/>
        <v>0.61</v>
      </c>
      <c r="AH22" s="18">
        <f t="shared" si="21"/>
        <v>0.59</v>
      </c>
      <c r="AI22" s="1"/>
      <c r="AJ22" s="1"/>
      <c r="AK22" s="1"/>
      <c r="AL22" s="1"/>
      <c r="AM22" s="1">
        <f>MIN(W12,Y12)</f>
        <v>14082211.700560626</v>
      </c>
      <c r="AN22" s="1">
        <f>Y12-AM22</f>
        <v>0</v>
      </c>
      <c r="AO22" s="1">
        <f>W12-AM22</f>
        <v>3489896.2994393744</v>
      </c>
    </row>
    <row r="23" spans="1:41" x14ac:dyDescent="0.25">
      <c r="A23" s="94">
        <f t="shared" si="0"/>
        <v>21</v>
      </c>
      <c r="B23" s="95">
        <v>33</v>
      </c>
      <c r="C23">
        <f>MATCH(B23,Inputs!$A$4:$A$81,0)</f>
        <v>27</v>
      </c>
      <c r="D23" t="str">
        <f>INDEX(Inputs!$A$4:$S$81,Model!$C23,D$90)</f>
        <v>South Taranaki District</v>
      </c>
      <c r="E23">
        <f>INDEX(Inputs!$A$4:$S$81,Model!$C23,E$90)</f>
        <v>14889</v>
      </c>
      <c r="F23">
        <f>INDEX(Inputs!$A$4:$S$81,Model!$C23,F$90)</f>
        <v>1017.194564475779</v>
      </c>
      <c r="G23">
        <f>INDEX(Inputs!$A$4:$S$81,Model!$C23,G$90)</f>
        <v>1.9358959795079991E-7</v>
      </c>
      <c r="H23" s="10">
        <f t="shared" si="1"/>
        <v>-0.3616092756086936</v>
      </c>
      <c r="I23" s="14">
        <f t="shared" si="2"/>
        <v>0.35168042720948706</v>
      </c>
      <c r="J23" s="14">
        <f t="shared" si="3"/>
        <v>0.10146558609172869</v>
      </c>
      <c r="K23" s="10">
        <f t="shared" si="4"/>
        <v>6.8774896361922311</v>
      </c>
      <c r="L23" s="14">
        <f t="shared" si="5"/>
        <v>2.3192258794969867</v>
      </c>
      <c r="M23" s="14">
        <f t="shared" si="6"/>
        <v>0.98826219260847281</v>
      </c>
      <c r="N23" s="14">
        <f t="shared" si="7"/>
        <v>10.184977708297689</v>
      </c>
      <c r="O23" s="14">
        <f t="shared" si="14"/>
        <v>0.57451742998635447</v>
      </c>
      <c r="P23" s="11">
        <f t="shared" si="15"/>
        <v>1.0459102613586655</v>
      </c>
      <c r="Q23" s="28"/>
      <c r="R23" s="29"/>
      <c r="S23" s="26">
        <f t="shared" si="8"/>
        <v>0.58138337533772888</v>
      </c>
      <c r="T23" s="18">
        <f>INDEX(Inputs!R$4:R$81,Model!$C23)</f>
        <v>0.5145575693805986</v>
      </c>
      <c r="U23" s="10">
        <f>INDEX(Inputs!O$4:O$81,Model!$C23)</f>
        <v>48606672</v>
      </c>
      <c r="V23" s="14">
        <f>INDEX(Inputs!P$4:P$81,Model!$C23)</f>
        <v>25010931</v>
      </c>
      <c r="W23" s="11">
        <f>INDEX(Inputs!Q$4:Q$81,Model!$C23)</f>
        <v>23595741</v>
      </c>
      <c r="X23" s="10">
        <f t="shared" si="9"/>
        <v>28259111.031293876</v>
      </c>
      <c r="Y23" s="14">
        <f t="shared" si="10"/>
        <v>20347560.968706124</v>
      </c>
      <c r="Z23" s="14">
        <f t="shared" si="11"/>
        <v>3248180.0312938765</v>
      </c>
      <c r="AA23" s="11">
        <f t="shared" si="12"/>
        <v>-3248180.0312938765</v>
      </c>
      <c r="AB23" s="33">
        <f t="shared" si="16"/>
        <v>0.12987041671075245</v>
      </c>
      <c r="AC23" s="34">
        <f t="shared" si="17"/>
        <v>-0.13765958997828789</v>
      </c>
      <c r="AD23" s="26">
        <f t="shared" si="18"/>
        <v>-0.40819142612871351</v>
      </c>
      <c r="AE23" s="18">
        <f t="shared" si="19"/>
        <v>-0.40819142612871351</v>
      </c>
      <c r="AF23" s="10" t="str">
        <f t="shared" si="13"/>
        <v>South Taranaki District</v>
      </c>
      <c r="AG23" s="42">
        <f t="shared" si="20"/>
        <v>0.51</v>
      </c>
      <c r="AH23" s="18">
        <f t="shared" si="21"/>
        <v>0.57999999999999996</v>
      </c>
      <c r="AI23" s="1"/>
      <c r="AJ23" s="1">
        <f>MIN(V13,X13)</f>
        <v>9969972.4254046492</v>
      </c>
      <c r="AK23" s="1">
        <f>X13-AJ23</f>
        <v>0</v>
      </c>
      <c r="AL23" s="1">
        <f>V13-AJ23</f>
        <v>502307.57459535077</v>
      </c>
      <c r="AM23" s="1"/>
      <c r="AN23" s="1"/>
      <c r="AO23" s="1"/>
    </row>
    <row r="24" spans="1:41" x14ac:dyDescent="0.25">
      <c r="A24" s="94">
        <f t="shared" si="0"/>
        <v>22</v>
      </c>
      <c r="B24" s="95">
        <v>90</v>
      </c>
      <c r="C24">
        <f>MATCH(B24,Inputs!$A$4:$A$81,0)</f>
        <v>75</v>
      </c>
      <c r="D24" t="str">
        <f>INDEX(Inputs!$A$4:$S$81,Model!$C24,D$90)</f>
        <v>West Coast Regional</v>
      </c>
      <c r="E24">
        <f>INDEX(Inputs!$A$4:$S$81,Model!$C24,E$90)</f>
        <v>22410</v>
      </c>
      <c r="F24">
        <f>INDEX(Inputs!$A$4:$S$81,Model!$C24,F$90)</f>
        <v>1006.0929182281156</v>
      </c>
      <c r="G24">
        <f>INDEX(Inputs!$A$4:$S$81,Model!$C24,G$90)</f>
        <v>2.5440721697531834E-7</v>
      </c>
      <c r="H24" s="10">
        <f t="shared" si="1"/>
        <v>-0.26002978028198009</v>
      </c>
      <c r="I24" s="14">
        <f t="shared" si="2"/>
        <v>8.6577704958394161E-2</v>
      </c>
      <c r="J24" s="14">
        <f t="shared" si="3"/>
        <v>0.4358000658473854</v>
      </c>
      <c r="K24" s="10">
        <f t="shared" si="4"/>
        <v>6.7759101408655171</v>
      </c>
      <c r="L24" s="14">
        <f t="shared" si="5"/>
        <v>2.0541231572458938</v>
      </c>
      <c r="M24" s="14">
        <f t="shared" si="6"/>
        <v>1.3225966723641296</v>
      </c>
      <c r="N24" s="14">
        <f t="shared" si="7"/>
        <v>10.152629970475541</v>
      </c>
      <c r="O24" s="14">
        <f t="shared" si="14"/>
        <v>0.57228164589173547</v>
      </c>
      <c r="P24" s="11">
        <f t="shared" si="15"/>
        <v>1.0135625235365175</v>
      </c>
      <c r="Q24" s="29"/>
      <c r="R24" s="29"/>
      <c r="S24" s="26">
        <f t="shared" si="8"/>
        <v>0.5791756422313673</v>
      </c>
      <c r="T24" s="18">
        <f>INDEX(Inputs!R$4:R$81,Model!$C24)</f>
        <v>0.66586928571319115</v>
      </c>
      <c r="U24" s="10">
        <f>INDEX(Inputs!O$4:O$81,Model!$C24)</f>
        <v>652553</v>
      </c>
      <c r="V24" s="14">
        <f>INDEX(Inputs!P$4:P$81,Model!$C24)</f>
        <v>434515</v>
      </c>
      <c r="W24" s="11">
        <f>INDEX(Inputs!Q$4:Q$81,Model!$C24)</f>
        <v>218038</v>
      </c>
      <c r="X24" s="10">
        <f t="shared" si="9"/>
        <v>377942.80286500545</v>
      </c>
      <c r="Y24" s="14">
        <f t="shared" si="10"/>
        <v>274610.19713499455</v>
      </c>
      <c r="Z24" s="14">
        <f t="shared" si="11"/>
        <v>-56572.197134994552</v>
      </c>
      <c r="AA24" s="11">
        <f t="shared" si="12"/>
        <v>56572.197134994552</v>
      </c>
      <c r="AB24" s="33">
        <f t="shared" si="16"/>
        <v>-0.13019618916491849</v>
      </c>
      <c r="AC24" s="34">
        <f t="shared" si="17"/>
        <v>0.25946026442635939</v>
      </c>
      <c r="AD24" s="26">
        <f t="shared" si="18"/>
        <v>7.109299855700915E-3</v>
      </c>
      <c r="AE24" s="18">
        <f t="shared" si="19"/>
        <v>7.109299855700915E-3</v>
      </c>
      <c r="AF24" s="10" t="str">
        <f t="shared" si="13"/>
        <v>West Coast Regional</v>
      </c>
      <c r="AG24" s="42">
        <f t="shared" si="20"/>
        <v>0.67</v>
      </c>
      <c r="AH24" s="18">
        <f t="shared" si="21"/>
        <v>0.57999999999999996</v>
      </c>
      <c r="AI24" s="1"/>
      <c r="AJ24" s="1"/>
      <c r="AK24" s="1"/>
      <c r="AL24" s="1"/>
      <c r="AM24" s="1">
        <f>MIN(W13,Y13)</f>
        <v>5277006</v>
      </c>
      <c r="AN24" s="1">
        <f>Y13-AM24</f>
        <v>502307.57459535077</v>
      </c>
      <c r="AO24" s="1">
        <f>W13-AM24</f>
        <v>0</v>
      </c>
    </row>
    <row r="25" spans="1:41" x14ac:dyDescent="0.25">
      <c r="A25" s="94">
        <f t="shared" si="0"/>
        <v>23</v>
      </c>
      <c r="B25" s="95">
        <v>14</v>
      </c>
      <c r="C25">
        <f>MATCH(B25,Inputs!$A$4:$A$81,0)</f>
        <v>8</v>
      </c>
      <c r="D25" t="str">
        <f>INDEX(Inputs!$A$4:$S$81,Model!$C25,D$90)</f>
        <v>Otorohanga District</v>
      </c>
      <c r="E25">
        <f>INDEX(Inputs!$A$4:$S$81,Model!$C25,E$90)</f>
        <v>5212</v>
      </c>
      <c r="F25">
        <f>INDEX(Inputs!$A$4:$S$81,Model!$C25,F$90)</f>
        <v>1004.8161642928122</v>
      </c>
      <c r="G25">
        <f>INDEX(Inputs!$A$4:$S$81,Model!$C25,G$90)</f>
        <v>2.1589874009451848E-7</v>
      </c>
      <c r="H25" s="10">
        <f t="shared" si="1"/>
        <v>-0.49230795614008654</v>
      </c>
      <c r="I25" s="14">
        <f t="shared" si="2"/>
        <v>5.6089348876522678E-2</v>
      </c>
      <c r="J25" s="14">
        <f t="shared" si="3"/>
        <v>0.22410628712621325</v>
      </c>
      <c r="K25" s="10">
        <f t="shared" si="4"/>
        <v>7.0081883167236239</v>
      </c>
      <c r="L25" s="14">
        <f t="shared" si="5"/>
        <v>2.0236348011640222</v>
      </c>
      <c r="M25" s="14">
        <f t="shared" si="6"/>
        <v>1.1109028936429572</v>
      </c>
      <c r="N25" s="14">
        <f t="shared" si="7"/>
        <v>10.142726011530602</v>
      </c>
      <c r="O25" s="14">
        <f t="shared" si="14"/>
        <v>0.5715971122775273</v>
      </c>
      <c r="P25" s="11">
        <f t="shared" si="15"/>
        <v>1.0036585645915785</v>
      </c>
      <c r="Q25" s="29"/>
      <c r="R25" s="29"/>
      <c r="S25" s="26">
        <f t="shared" si="8"/>
        <v>0.57849969703337523</v>
      </c>
      <c r="T25" s="18">
        <f>INDEX(Inputs!R$4:R$81,Model!$C25)</f>
        <v>0.53493007543303284</v>
      </c>
      <c r="U25" s="10">
        <f>INDEX(Inputs!O$4:O$81,Model!$C25)</f>
        <v>20243386</v>
      </c>
      <c r="V25" s="14">
        <f>INDEX(Inputs!P$4:P$81,Model!$C25)</f>
        <v>10828796</v>
      </c>
      <c r="W25" s="11">
        <f>INDEX(Inputs!Q$4:Q$81,Model!$C25)</f>
        <v>9414590</v>
      </c>
      <c r="X25" s="10">
        <f t="shared" si="9"/>
        <v>11710792.66792967</v>
      </c>
      <c r="Y25" s="14">
        <f t="shared" si="10"/>
        <v>8532593.3320703302</v>
      </c>
      <c r="Z25" s="14">
        <f t="shared" si="11"/>
        <v>881996.66792966984</v>
      </c>
      <c r="AA25" s="11">
        <f t="shared" si="12"/>
        <v>-881996.66792966984</v>
      </c>
      <c r="AB25" s="33">
        <f t="shared" si="16"/>
        <v>8.1449190466758248E-2</v>
      </c>
      <c r="AC25" s="34">
        <f t="shared" si="17"/>
        <v>-9.3684023194814628E-2</v>
      </c>
      <c r="AD25" s="26">
        <f t="shared" si="18"/>
        <v>-0.11083852318973032</v>
      </c>
      <c r="AE25" s="18">
        <f t="shared" si="19"/>
        <v>-0.11083852318973032</v>
      </c>
      <c r="AF25" s="10" t="str">
        <f t="shared" si="13"/>
        <v>Otorohanga District</v>
      </c>
      <c r="AG25" s="42">
        <f t="shared" si="20"/>
        <v>0.53</v>
      </c>
      <c r="AH25" s="18">
        <f t="shared" si="21"/>
        <v>0.57999999999999996</v>
      </c>
      <c r="AI25" s="1"/>
      <c r="AJ25" s="1">
        <f>MIN(V14,X14)</f>
        <v>31335956.412527788</v>
      </c>
      <c r="AK25" s="1">
        <f>X14-AJ25</f>
        <v>0</v>
      </c>
      <c r="AL25" s="1">
        <f>V14-AJ25</f>
        <v>54642.58747221157</v>
      </c>
      <c r="AM25" s="1"/>
      <c r="AN25" s="1"/>
      <c r="AO25" s="1"/>
    </row>
    <row r="26" spans="1:41" x14ac:dyDescent="0.25">
      <c r="A26" s="94">
        <f t="shared" si="0"/>
        <v>24</v>
      </c>
      <c r="B26" s="95">
        <v>65</v>
      </c>
      <c r="C26">
        <f>MATCH(B26,Inputs!$A$4:$A$81,0)</f>
        <v>58</v>
      </c>
      <c r="D26" t="str">
        <f>INDEX(Inputs!$A$4:$S$81,Model!$C26,D$90)</f>
        <v>Westland District</v>
      </c>
      <c r="E26">
        <f>INDEX(Inputs!$A$4:$S$81,Model!$C26,E$90)</f>
        <v>6497</v>
      </c>
      <c r="F26">
        <f>INDEX(Inputs!$A$4:$S$81,Model!$C26,F$90)</f>
        <v>988.67059243397568</v>
      </c>
      <c r="G26">
        <f>INDEX(Inputs!$A$4:$S$81,Model!$C26,G$90)</f>
        <v>2.8461901122243247E-7</v>
      </c>
      <c r="H26" s="10">
        <f t="shared" si="1"/>
        <v>-0.47495259761132352</v>
      </c>
      <c r="I26" s="14">
        <f t="shared" si="2"/>
        <v>-0.32946023148225612</v>
      </c>
      <c r="J26" s="14">
        <f t="shared" si="3"/>
        <v>0.60188424793320039</v>
      </c>
      <c r="K26" s="10">
        <f t="shared" si="4"/>
        <v>6.9908329581948605</v>
      </c>
      <c r="L26" s="14">
        <f t="shared" si="5"/>
        <v>1.6380852208052434</v>
      </c>
      <c r="M26" s="14">
        <f t="shared" si="6"/>
        <v>1.4886808544499446</v>
      </c>
      <c r="N26" s="14">
        <f t="shared" si="7"/>
        <v>10.117599033450048</v>
      </c>
      <c r="O26" s="14">
        <f t="shared" si="14"/>
        <v>0.56986040666159776</v>
      </c>
      <c r="P26" s="11">
        <f t="shared" si="15"/>
        <v>0.9785315865110249</v>
      </c>
      <c r="S26" s="26">
        <f t="shared" si="8"/>
        <v>0.57678478077937745</v>
      </c>
      <c r="T26" s="18">
        <f>INDEX(Inputs!R$4:R$81,Model!$C26)</f>
        <v>0.65520808618784343</v>
      </c>
      <c r="U26" s="10">
        <f>INDEX(Inputs!O$4:O$81,Model!$C26)</f>
        <v>14380868</v>
      </c>
      <c r="V26" s="14">
        <f>INDEX(Inputs!P$4:P$81,Model!$C26)</f>
        <v>9422461</v>
      </c>
      <c r="W26" s="11">
        <f>INDEX(Inputs!Q$4:Q$81,Model!$C26)</f>
        <v>4958407</v>
      </c>
      <c r="X26" s="10">
        <f t="shared" si="9"/>
        <v>8294665.7967971638</v>
      </c>
      <c r="Y26" s="14">
        <f t="shared" si="10"/>
        <v>6086202.2032028362</v>
      </c>
      <c r="Z26" s="14">
        <f t="shared" si="11"/>
        <v>-1127795.2032028362</v>
      </c>
      <c r="AA26" s="11">
        <f t="shared" si="12"/>
        <v>1127795.2032028362</v>
      </c>
      <c r="AB26" s="33">
        <f t="shared" si="16"/>
        <v>-0.11969221238515461</v>
      </c>
      <c r="AC26" s="34">
        <f t="shared" si="17"/>
        <v>0.22745111548988137</v>
      </c>
      <c r="AD26" s="26">
        <f t="shared" si="18"/>
        <v>0.14172746828725197</v>
      </c>
      <c r="AE26" s="18">
        <f t="shared" si="19"/>
        <v>0.14172746828725197</v>
      </c>
      <c r="AF26" s="10" t="str">
        <f t="shared" si="13"/>
        <v>Westland District</v>
      </c>
      <c r="AG26" s="42">
        <f t="shared" si="20"/>
        <v>0.66</v>
      </c>
      <c r="AH26" s="18">
        <f t="shared" si="21"/>
        <v>0.57999999999999996</v>
      </c>
      <c r="AI26" s="1"/>
      <c r="AJ26" s="1"/>
      <c r="AK26" s="1"/>
      <c r="AL26" s="1"/>
      <c r="AM26" s="1">
        <f>MIN(W14,Y14)</f>
        <v>18731076</v>
      </c>
      <c r="AN26" s="1">
        <f>Y14-AM26</f>
        <v>54642.58747221157</v>
      </c>
      <c r="AO26" s="1">
        <f>W14-AM26</f>
        <v>0</v>
      </c>
    </row>
    <row r="27" spans="1:41" x14ac:dyDescent="0.25">
      <c r="A27" s="94">
        <f t="shared" si="0"/>
        <v>25</v>
      </c>
      <c r="B27" s="95">
        <v>64</v>
      </c>
      <c r="C27">
        <f>MATCH(B27,Inputs!$A$4:$A$81,0)</f>
        <v>57</v>
      </c>
      <c r="D27" t="str">
        <f>INDEX(Inputs!$A$4:$S$81,Model!$C27,D$90)</f>
        <v>Grey District</v>
      </c>
      <c r="E27">
        <f>INDEX(Inputs!$A$4:$S$81,Model!$C27,E$90)</f>
        <v>8549</v>
      </c>
      <c r="F27">
        <f>INDEX(Inputs!$A$4:$S$81,Model!$C27,F$90)</f>
        <v>997.88461538461536</v>
      </c>
      <c r="G27">
        <f>INDEX(Inputs!$A$4:$S$81,Model!$C27,G$90)</f>
        <v>2.3254505122916013E-7</v>
      </c>
      <c r="H27" s="10">
        <f t="shared" si="1"/>
        <v>-0.44723804842764897</v>
      </c>
      <c r="I27" s="14">
        <f t="shared" si="2"/>
        <v>-0.10943317309776146</v>
      </c>
      <c r="J27" s="14">
        <f t="shared" si="3"/>
        <v>0.31561654126502658</v>
      </c>
      <c r="K27" s="10">
        <f t="shared" si="4"/>
        <v>6.9631184090111864</v>
      </c>
      <c r="L27" s="14">
        <f t="shared" si="5"/>
        <v>1.8581122791897382</v>
      </c>
      <c r="M27" s="14">
        <f t="shared" si="6"/>
        <v>1.2024131477817708</v>
      </c>
      <c r="N27" s="14">
        <f t="shared" si="7"/>
        <v>10.023643835982694</v>
      </c>
      <c r="O27" s="14">
        <f t="shared" si="14"/>
        <v>0.56336648930455568</v>
      </c>
      <c r="P27" s="11">
        <f t="shared" si="15"/>
        <v>0.88457638904367109</v>
      </c>
      <c r="R27" s="31"/>
      <c r="S27" s="26">
        <f t="shared" si="8"/>
        <v>0.57037233855223057</v>
      </c>
      <c r="T27" s="18">
        <f>INDEX(Inputs!R$4:R$81,Model!$C27)</f>
        <v>0.63513090030525643</v>
      </c>
      <c r="U27" s="10">
        <f>INDEX(Inputs!O$4:O$81,Model!$C27)</f>
        <v>20502435</v>
      </c>
      <c r="V27" s="14">
        <f>INDEX(Inputs!P$4:P$81,Model!$C27)</f>
        <v>13021730</v>
      </c>
      <c r="W27" s="11">
        <f>INDEX(Inputs!Q$4:Q$81,Model!$C27)</f>
        <v>7480705</v>
      </c>
      <c r="X27" s="10">
        <f t="shared" si="9"/>
        <v>11694021.796965102</v>
      </c>
      <c r="Y27" s="14">
        <f t="shared" si="10"/>
        <v>8808413.2030348983</v>
      </c>
      <c r="Z27" s="14">
        <f t="shared" si="11"/>
        <v>-1327708.2030348983</v>
      </c>
      <c r="AA27" s="11">
        <f t="shared" si="12"/>
        <v>1327708.2030348983</v>
      </c>
      <c r="AB27" s="33">
        <f t="shared" si="16"/>
        <v>-0.10196096855294176</v>
      </c>
      <c r="AC27" s="34">
        <f t="shared" si="17"/>
        <v>0.17748436852340765</v>
      </c>
      <c r="AD27" s="26">
        <f t="shared" si="18"/>
        <v>0.16685008209465632</v>
      </c>
      <c r="AE27" s="18">
        <f t="shared" si="19"/>
        <v>0.16685008209465632</v>
      </c>
      <c r="AF27" s="10" t="str">
        <f t="shared" si="13"/>
        <v>Grey District</v>
      </c>
      <c r="AG27" s="42">
        <f t="shared" si="20"/>
        <v>0.64</v>
      </c>
      <c r="AH27" s="18">
        <f t="shared" si="21"/>
        <v>0.56999999999999995</v>
      </c>
      <c r="AI27" s="1"/>
      <c r="AJ27" s="1">
        <f>MIN(V15,X15)</f>
        <v>10192883</v>
      </c>
      <c r="AK27" s="1">
        <f>X15-AJ27</f>
        <v>2423120.7591076214</v>
      </c>
      <c r="AL27" s="1">
        <f>V15-AJ27</f>
        <v>0</v>
      </c>
      <c r="AM27" s="1"/>
      <c r="AN27" s="1"/>
      <c r="AO27" s="1"/>
    </row>
    <row r="28" spans="1:41" x14ac:dyDescent="0.25">
      <c r="A28" s="94">
        <f t="shared" si="0"/>
        <v>26</v>
      </c>
      <c r="B28" s="95">
        <v>45</v>
      </c>
      <c r="C28">
        <f>MATCH(B28,Inputs!$A$4:$A$81,0)</f>
        <v>39</v>
      </c>
      <c r="D28" t="str">
        <f>INDEX(Inputs!$A$4:$S$81,Model!$C28,D$90)</f>
        <v>Masterton District</v>
      </c>
      <c r="E28">
        <f>INDEX(Inputs!$A$4:$S$81,Model!$C28,E$90)</f>
        <v>12227</v>
      </c>
      <c r="F28">
        <f>INDEX(Inputs!$A$4:$S$81,Model!$C28,F$90)</f>
        <v>1012.7568497683653</v>
      </c>
      <c r="G28">
        <f>INDEX(Inputs!$A$4:$S$81,Model!$C28,G$90)</f>
        <v>1.7658707661496805E-7</v>
      </c>
      <c r="H28" s="10">
        <f t="shared" si="1"/>
        <v>-0.39756255530018558</v>
      </c>
      <c r="I28" s="14">
        <f t="shared" si="2"/>
        <v>0.24570963483653702</v>
      </c>
      <c r="J28" s="14">
        <f t="shared" si="3"/>
        <v>7.9971271726431425E-3</v>
      </c>
      <c r="K28" s="10">
        <f t="shared" si="4"/>
        <v>6.9134429158837225</v>
      </c>
      <c r="L28" s="14">
        <f t="shared" si="5"/>
        <v>2.2132550871240366</v>
      </c>
      <c r="M28" s="14">
        <f t="shared" si="6"/>
        <v>0.89479373368938719</v>
      </c>
      <c r="N28" s="14">
        <f t="shared" si="7"/>
        <v>10.021491736697145</v>
      </c>
      <c r="O28" s="14">
        <f t="shared" si="14"/>
        <v>0.56321774229234955</v>
      </c>
      <c r="P28" s="11">
        <f t="shared" si="15"/>
        <v>0.88242428975812182</v>
      </c>
      <c r="R28" s="1"/>
      <c r="S28" s="26">
        <f t="shared" si="8"/>
        <v>0.57022545777599187</v>
      </c>
      <c r="T28" s="18">
        <f>INDEX(Inputs!R$4:R$81,Model!$C28)</f>
        <v>0.56095838314623037</v>
      </c>
      <c r="U28" s="10">
        <f>INDEX(Inputs!O$4:O$81,Model!$C28)</f>
        <v>26382893</v>
      </c>
      <c r="V28" s="14">
        <f>INDEX(Inputs!P$4:P$81,Model!$C28)</f>
        <v>14799705</v>
      </c>
      <c r="W28" s="11">
        <f>INDEX(Inputs!Q$4:Q$81,Model!$C28)</f>
        <v>11583188</v>
      </c>
      <c r="X28" s="10">
        <f t="shared" si="9"/>
        <v>15044197.238380011</v>
      </c>
      <c r="Y28" s="14">
        <f t="shared" si="10"/>
        <v>11338695.761619989</v>
      </c>
      <c r="Z28" s="14">
        <f t="shared" si="11"/>
        <v>244492.23838001117</v>
      </c>
      <c r="AA28" s="11">
        <f t="shared" si="12"/>
        <v>-244492.23838001117</v>
      </c>
      <c r="AB28" s="33">
        <f t="shared" si="16"/>
        <v>1.6520075121768386E-2</v>
      </c>
      <c r="AC28" s="34">
        <f t="shared" si="17"/>
        <v>-2.1107508432049206E-2</v>
      </c>
      <c r="AD28" s="26">
        <f t="shared" si="18"/>
        <v>-3.0724785726234539E-2</v>
      </c>
      <c r="AE28" s="18">
        <f t="shared" si="19"/>
        <v>-3.0724785726234539E-2</v>
      </c>
      <c r="AF28" s="10" t="str">
        <f t="shared" si="13"/>
        <v>Masterton District</v>
      </c>
      <c r="AG28" s="42">
        <f t="shared" si="20"/>
        <v>0.56000000000000005</v>
      </c>
      <c r="AH28" s="18">
        <f t="shared" si="21"/>
        <v>0.56999999999999995</v>
      </c>
      <c r="AI28" s="1"/>
      <c r="AJ28" s="1"/>
      <c r="AK28" s="1"/>
      <c r="AL28" s="1"/>
      <c r="AM28" s="1">
        <f>MIN(W15,Y15)</f>
        <v>7569876.2408923786</v>
      </c>
      <c r="AN28" s="1">
        <f>Y15-AM28</f>
        <v>0</v>
      </c>
      <c r="AO28" s="1">
        <f>W15-AM28</f>
        <v>2423120.7591076214</v>
      </c>
    </row>
    <row r="29" spans="1:41" x14ac:dyDescent="0.25">
      <c r="A29" s="94">
        <f t="shared" si="0"/>
        <v>27</v>
      </c>
      <c r="B29" s="95">
        <v>34</v>
      </c>
      <c r="C29">
        <f>MATCH(B29,Inputs!$A$4:$A$81,0)</f>
        <v>28</v>
      </c>
      <c r="D29" t="str">
        <f>INDEX(Inputs!$A$4:$S$81,Model!$C29,D$90)</f>
        <v>Stratford District</v>
      </c>
      <c r="E29">
        <f>INDEX(Inputs!$A$4:$S$81,Model!$C29,E$90)</f>
        <v>4954</v>
      </c>
      <c r="F29">
        <f>INDEX(Inputs!$A$4:$S$81,Model!$C29,F$90)</f>
        <v>996.44773109243692</v>
      </c>
      <c r="G29">
        <f>INDEX(Inputs!$A$4:$S$81,Model!$C29,G$90)</f>
        <v>2.1978428484844538E-7</v>
      </c>
      <c r="H29" s="10">
        <f t="shared" si="1"/>
        <v>-0.49579253396142575</v>
      </c>
      <c r="I29" s="14">
        <f t="shared" si="2"/>
        <v>-0.14374537589349673</v>
      </c>
      <c r="J29" s="14">
        <f t="shared" si="3"/>
        <v>0.2454664061954546</v>
      </c>
      <c r="K29" s="10">
        <f t="shared" si="4"/>
        <v>7.0116728945449633</v>
      </c>
      <c r="L29" s="14">
        <f t="shared" si="5"/>
        <v>1.8238000763940028</v>
      </c>
      <c r="M29" s="14">
        <f t="shared" si="6"/>
        <v>1.1322630127121986</v>
      </c>
      <c r="N29" s="14">
        <f t="shared" si="7"/>
        <v>9.9677359836511652</v>
      </c>
      <c r="O29" s="14">
        <f t="shared" si="14"/>
        <v>0.55950229676984453</v>
      </c>
      <c r="P29" s="11">
        <f t="shared" si="15"/>
        <v>0.8286685367121418</v>
      </c>
      <c r="Q29" s="1"/>
      <c r="S29" s="26">
        <f t="shared" si="8"/>
        <v>0.56655662763060366</v>
      </c>
      <c r="T29" s="18">
        <f>INDEX(Inputs!R$4:R$81,Model!$C29)</f>
        <v>0.5409182708369219</v>
      </c>
      <c r="U29" s="10">
        <f>INDEX(Inputs!O$4:O$81,Model!$C29)</f>
        <v>17079754</v>
      </c>
      <c r="V29" s="14">
        <f>INDEX(Inputs!P$4:P$81,Model!$C29)</f>
        <v>9238751</v>
      </c>
      <c r="W29" s="11">
        <f>INDEX(Inputs!Q$4:Q$81,Model!$C29)</f>
        <v>7841003</v>
      </c>
      <c r="X29" s="10">
        <f t="shared" si="9"/>
        <v>9676647.8270003125</v>
      </c>
      <c r="Y29" s="14">
        <f t="shared" si="10"/>
        <v>7403106.1729996875</v>
      </c>
      <c r="Z29" s="14">
        <f t="shared" si="11"/>
        <v>437896.82700031251</v>
      </c>
      <c r="AA29" s="11">
        <f t="shared" si="12"/>
        <v>-437896.82700031251</v>
      </c>
      <c r="AB29" s="33">
        <f t="shared" si="16"/>
        <v>4.7397838409143453E-2</v>
      </c>
      <c r="AC29" s="34">
        <f t="shared" si="17"/>
        <v>-5.5847042400100154E-2</v>
      </c>
      <c r="AD29" s="26">
        <f t="shared" si="18"/>
        <v>-5.5029502240765499E-2</v>
      </c>
      <c r="AE29" s="18">
        <f t="shared" si="19"/>
        <v>-5.5029502240765499E-2</v>
      </c>
      <c r="AF29" s="10" t="str">
        <f t="shared" si="13"/>
        <v>Stratford District</v>
      </c>
      <c r="AG29" s="42">
        <f t="shared" si="20"/>
        <v>0.54</v>
      </c>
      <c r="AH29" s="18">
        <f t="shared" si="21"/>
        <v>0.56999999999999995</v>
      </c>
      <c r="AI29" s="1"/>
      <c r="AJ29" s="1">
        <f>MIN(V16,X16)</f>
        <v>34896041.856798492</v>
      </c>
      <c r="AK29" s="1">
        <f>X16-AJ29</f>
        <v>0</v>
      </c>
      <c r="AL29" s="1">
        <f>V16-AJ29</f>
        <v>127673.14320150763</v>
      </c>
      <c r="AM29" s="1"/>
      <c r="AN29" s="1"/>
      <c r="AO29" s="1"/>
    </row>
    <row r="30" spans="1:41" x14ac:dyDescent="0.25">
      <c r="A30" s="94">
        <f t="shared" si="0"/>
        <v>28</v>
      </c>
      <c r="B30" s="95">
        <v>46</v>
      </c>
      <c r="C30">
        <f>MATCH(B30,Inputs!$A$4:$A$81,0)</f>
        <v>40</v>
      </c>
      <c r="D30" t="str">
        <f>INDEX(Inputs!$A$4:$S$81,Model!$C30,D$90)</f>
        <v>Porirua City</v>
      </c>
      <c r="E30">
        <f>INDEX(Inputs!$A$4:$S$81,Model!$C30,E$90)</f>
        <v>18147</v>
      </c>
      <c r="F30">
        <f>INDEX(Inputs!$A$4:$S$81,Model!$C30,F$90)</f>
        <v>1040.4211604095563</v>
      </c>
      <c r="G30">
        <f>INDEX(Inputs!$A$4:$S$81,Model!$C30,G$90)</f>
        <v>3.0733056044093643E-8</v>
      </c>
      <c r="H30" s="10">
        <f t="shared" si="1"/>
        <v>-0.31760635102759632</v>
      </c>
      <c r="I30" s="14">
        <f t="shared" si="2"/>
        <v>0.90632193472163081</v>
      </c>
      <c r="J30" s="14">
        <f t="shared" si="3"/>
        <v>-0.79381045539935924</v>
      </c>
      <c r="K30" s="10">
        <f t="shared" si="4"/>
        <v>6.8334867116111333</v>
      </c>
      <c r="L30" s="14">
        <f t="shared" si="5"/>
        <v>2.8738673870091302</v>
      </c>
      <c r="M30" s="14">
        <f t="shared" si="6"/>
        <v>9.2986151117384841E-2</v>
      </c>
      <c r="N30" s="14">
        <f t="shared" si="7"/>
        <v>9.8003402497376495</v>
      </c>
      <c r="O30" s="14">
        <f t="shared" si="14"/>
        <v>0.54793237736934008</v>
      </c>
      <c r="P30" s="11">
        <f t="shared" si="15"/>
        <v>0.6612728027986261</v>
      </c>
      <c r="Q30" s="1"/>
      <c r="S30" s="26">
        <f t="shared" si="8"/>
        <v>0.55513186879100629</v>
      </c>
      <c r="T30" s="18">
        <f>INDEX(Inputs!R$4:R$81,Model!$C30)</f>
        <v>0.46756584747401381</v>
      </c>
      <c r="U30" s="10">
        <f>INDEX(Inputs!O$4:O$81,Model!$C30)</f>
        <v>15866516</v>
      </c>
      <c r="V30" s="14">
        <f>INDEX(Inputs!P$4:P$81,Model!$C30)</f>
        <v>7418641</v>
      </c>
      <c r="W30" s="11">
        <f>INDEX(Inputs!Q$4:Q$81,Model!$C30)</f>
        <v>8447875</v>
      </c>
      <c r="X30" s="10">
        <f t="shared" si="9"/>
        <v>8808008.6782824025</v>
      </c>
      <c r="Y30" s="14">
        <f t="shared" si="10"/>
        <v>7058507.3217175975</v>
      </c>
      <c r="Z30" s="14">
        <f t="shared" si="11"/>
        <v>1389367.6782824025</v>
      </c>
      <c r="AA30" s="11">
        <f t="shared" si="12"/>
        <v>-1389367.6782824025</v>
      </c>
      <c r="AB30" s="33">
        <f t="shared" si="16"/>
        <v>0.18728061895465792</v>
      </c>
      <c r="AC30" s="34">
        <f t="shared" si="17"/>
        <v>-0.16446356962933312</v>
      </c>
      <c r="AD30" s="26">
        <f t="shared" si="18"/>
        <v>-0.17459868866607262</v>
      </c>
      <c r="AE30" s="18">
        <f t="shared" si="19"/>
        <v>-0.17459868866607262</v>
      </c>
      <c r="AF30" s="10" t="str">
        <f t="shared" si="13"/>
        <v>Porirua City</v>
      </c>
      <c r="AG30" s="42">
        <f t="shared" si="20"/>
        <v>0.47</v>
      </c>
      <c r="AH30" s="18">
        <f t="shared" si="21"/>
        <v>0.56000000000000005</v>
      </c>
      <c r="AI30" s="1"/>
      <c r="AJ30" s="1"/>
      <c r="AK30" s="1"/>
      <c r="AL30" s="1"/>
      <c r="AM30" s="1">
        <f>MIN(W16,Y16)</f>
        <v>22262405</v>
      </c>
      <c r="AN30" s="1">
        <f>Y16-AM30</f>
        <v>127673.14320150763</v>
      </c>
      <c r="AO30" s="1">
        <f>W16-AM30</f>
        <v>0</v>
      </c>
    </row>
    <row r="31" spans="1:41" x14ac:dyDescent="0.25">
      <c r="A31" s="94">
        <f t="shared" si="0"/>
        <v>29</v>
      </c>
      <c r="B31" s="95">
        <v>23</v>
      </c>
      <c r="C31">
        <f>MATCH(B31,Inputs!$A$4:$A$81,0)</f>
        <v>17</v>
      </c>
      <c r="D31" t="str">
        <f>INDEX(Inputs!$A$4:$S$81,Model!$C31,D$90)</f>
        <v>Rotorua District</v>
      </c>
      <c r="E31">
        <f>INDEX(Inputs!$A$4:$S$81,Model!$C31,E$90)</f>
        <v>29369</v>
      </c>
      <c r="F31">
        <f>INDEX(Inputs!$A$4:$S$81,Model!$C31,F$90)</f>
        <v>1034.2189018241818</v>
      </c>
      <c r="G31">
        <f>INDEX(Inputs!$A$4:$S$81,Model!$C31,G$90)</f>
        <v>8.3035836792343964E-8</v>
      </c>
      <c r="H31" s="10">
        <f t="shared" si="1"/>
        <v>-0.16604072191492791</v>
      </c>
      <c r="I31" s="14">
        <f t="shared" si="2"/>
        <v>0.75821456412026056</v>
      </c>
      <c r="J31" s="14">
        <f t="shared" si="3"/>
        <v>-0.50628484568762799</v>
      </c>
      <c r="K31" s="10">
        <f t="shared" si="4"/>
        <v>6.6819210824984649</v>
      </c>
      <c r="L31" s="14">
        <f t="shared" si="5"/>
        <v>2.7257600164077602</v>
      </c>
      <c r="M31" s="14">
        <f t="shared" si="6"/>
        <v>0.38051176082911609</v>
      </c>
      <c r="N31" s="14">
        <f t="shared" si="7"/>
        <v>9.7881928597353411</v>
      </c>
      <c r="O31" s="14">
        <f t="shared" si="14"/>
        <v>0.54709278414932516</v>
      </c>
      <c r="P31" s="11">
        <f t="shared" si="15"/>
        <v>0.64912541279631775</v>
      </c>
      <c r="Q31" s="1"/>
      <c r="R31" s="1"/>
      <c r="S31" s="26">
        <f t="shared" si="8"/>
        <v>0.55430280942334864</v>
      </c>
      <c r="T31" s="18">
        <f>INDEX(Inputs!R$4:R$81,Model!$C31)</f>
        <v>0.49388126354940615</v>
      </c>
      <c r="U31" s="10">
        <f>INDEX(Inputs!O$4:O$81,Model!$C31)</f>
        <v>52688656</v>
      </c>
      <c r="V31" s="14">
        <f>INDEX(Inputs!P$4:P$81,Model!$C31)</f>
        <v>26021940</v>
      </c>
      <c r="W31" s="11">
        <f>INDEX(Inputs!Q$4:Q$81,Model!$C31)</f>
        <v>26666716</v>
      </c>
      <c r="X31" s="10">
        <f t="shared" si="9"/>
        <v>29205470.045540374</v>
      </c>
      <c r="Y31" s="14">
        <f t="shared" si="10"/>
        <v>23483185.954459626</v>
      </c>
      <c r="Z31" s="14">
        <f t="shared" si="11"/>
        <v>3183530.0455403738</v>
      </c>
      <c r="AA31" s="11">
        <f t="shared" si="12"/>
        <v>-3183530.0455403738</v>
      </c>
      <c r="AB31" s="33">
        <f t="shared" si="16"/>
        <v>0.12234022696003348</v>
      </c>
      <c r="AC31" s="34">
        <f t="shared" si="17"/>
        <v>-0.11938215585077569</v>
      </c>
      <c r="AD31" s="26">
        <f t="shared" si="18"/>
        <v>-0.40006700887668972</v>
      </c>
      <c r="AE31" s="18">
        <f t="shared" si="19"/>
        <v>-0.40006700887668972</v>
      </c>
      <c r="AF31" s="10" t="str">
        <f t="shared" si="13"/>
        <v>Rotorua District</v>
      </c>
      <c r="AG31" s="42">
        <f t="shared" si="20"/>
        <v>0.49</v>
      </c>
      <c r="AH31" s="18">
        <f t="shared" si="21"/>
        <v>0.55000000000000004</v>
      </c>
      <c r="AI31" s="1"/>
      <c r="AJ31" s="1">
        <f>MIN(V17,X17)</f>
        <v>27356132.882578377</v>
      </c>
      <c r="AK31" s="1">
        <f>X17-AJ31</f>
        <v>0</v>
      </c>
      <c r="AL31" s="1">
        <f>V17-AJ31</f>
        <v>1646709.1174216233</v>
      </c>
      <c r="AM31" s="1"/>
      <c r="AN31" s="1"/>
      <c r="AO31" s="1"/>
    </row>
    <row r="32" spans="1:41" x14ac:dyDescent="0.25">
      <c r="A32" s="94">
        <f t="shared" si="0"/>
        <v>30</v>
      </c>
      <c r="B32" s="95">
        <v>70</v>
      </c>
      <c r="C32">
        <f>MATCH(B32,Inputs!$A$4:$A$81,0)</f>
        <v>63</v>
      </c>
      <c r="D32" t="str">
        <f>INDEX(Inputs!$A$4:$S$81,Model!$C32,D$90)</f>
        <v>Waitaki District</v>
      </c>
      <c r="E32">
        <f>INDEX(Inputs!$A$4:$S$81,Model!$C32,E$90)</f>
        <v>14198</v>
      </c>
      <c r="F32">
        <f>INDEX(Inputs!$A$4:$S$81,Model!$C32,F$90)</f>
        <v>981.62574760765551</v>
      </c>
      <c r="G32">
        <f>INDEX(Inputs!$A$4:$S$81,Model!$C32,G$90)</f>
        <v>2.563755815674507E-7</v>
      </c>
      <c r="H32" s="10">
        <f t="shared" si="1"/>
        <v>-0.37094200147902451</v>
      </c>
      <c r="I32" s="14">
        <f t="shared" si="2"/>
        <v>-0.49768821313741829</v>
      </c>
      <c r="J32" s="14">
        <f t="shared" si="3"/>
        <v>0.44662081421661576</v>
      </c>
      <c r="K32" s="10">
        <f t="shared" si="4"/>
        <v>6.8868223620625617</v>
      </c>
      <c r="L32" s="14">
        <f t="shared" si="5"/>
        <v>1.4698572391500813</v>
      </c>
      <c r="M32" s="14">
        <f t="shared" si="6"/>
        <v>1.3334174207333598</v>
      </c>
      <c r="N32" s="14">
        <f t="shared" si="7"/>
        <v>9.6900970219460039</v>
      </c>
      <c r="O32" s="14">
        <f t="shared" si="14"/>
        <v>0.54031267745118206</v>
      </c>
      <c r="P32" s="11">
        <f t="shared" si="15"/>
        <v>0.55102957500698047</v>
      </c>
      <c r="S32" s="26">
        <f t="shared" si="8"/>
        <v>0.54760776849422643</v>
      </c>
      <c r="T32" s="18">
        <f>INDEX(Inputs!R$4:R$81,Model!$C32)</f>
        <v>0.5820071381653128</v>
      </c>
      <c r="U32" s="10">
        <f>INDEX(Inputs!O$4:O$81,Model!$C32)</f>
        <v>32331277</v>
      </c>
      <c r="V32" s="14">
        <f>INDEX(Inputs!P$4:P$81,Model!$C32)</f>
        <v>18817034</v>
      </c>
      <c r="W32" s="11">
        <f>INDEX(Inputs!Q$4:Q$81,Model!$C32)</f>
        <v>13514243</v>
      </c>
      <c r="X32" s="10">
        <f t="shared" si="9"/>
        <v>17704858.450538706</v>
      </c>
      <c r="Y32" s="14">
        <f t="shared" si="10"/>
        <v>14626418.549461294</v>
      </c>
      <c r="Z32" s="14">
        <f t="shared" si="11"/>
        <v>-1112175.549461294</v>
      </c>
      <c r="AA32" s="11">
        <f t="shared" si="12"/>
        <v>1112175.549461294</v>
      </c>
      <c r="AB32" s="33">
        <f t="shared" si="16"/>
        <v>-5.9104721257414637E-2</v>
      </c>
      <c r="AC32" s="34">
        <f t="shared" si="17"/>
        <v>8.2296548127874708E-2</v>
      </c>
      <c r="AD32" s="26">
        <f t="shared" si="18"/>
        <v>0.13976458178620507</v>
      </c>
      <c r="AE32" s="18">
        <f t="shared" si="19"/>
        <v>0.13976458178620507</v>
      </c>
      <c r="AF32" s="10" t="str">
        <f t="shared" si="13"/>
        <v>Waitaki District</v>
      </c>
      <c r="AG32" s="42">
        <f t="shared" si="20"/>
        <v>0.57999999999999996</v>
      </c>
      <c r="AH32" s="18">
        <f t="shared" si="21"/>
        <v>0.55000000000000004</v>
      </c>
      <c r="AI32" s="1"/>
      <c r="AJ32" s="1"/>
      <c r="AK32" s="1"/>
      <c r="AL32" s="1"/>
      <c r="AM32" s="1">
        <f>MIN(W17,Y17)</f>
        <v>16280216</v>
      </c>
      <c r="AN32" s="1">
        <f>Y17-AM32</f>
        <v>1646709.1174216233</v>
      </c>
      <c r="AO32" s="1">
        <f>W17-AM32</f>
        <v>0</v>
      </c>
    </row>
    <row r="33" spans="1:41" x14ac:dyDescent="0.25">
      <c r="A33" s="94">
        <f t="shared" si="0"/>
        <v>31</v>
      </c>
      <c r="B33" s="95">
        <v>71</v>
      </c>
      <c r="C33">
        <f>MATCH(B33,Inputs!$A$4:$A$81,0)</f>
        <v>64</v>
      </c>
      <c r="D33" t="str">
        <f>INDEX(Inputs!$A$4:$S$81,Model!$C33,D$90)</f>
        <v>Gore District</v>
      </c>
      <c r="E33">
        <f>INDEX(Inputs!$A$4:$S$81,Model!$C33,E$90)</f>
        <v>6943</v>
      </c>
      <c r="F33">
        <f>INDEX(Inputs!$A$4:$S$81,Model!$C33,F$90)</f>
        <v>973.13795620437952</v>
      </c>
      <c r="G33">
        <f>INDEX(Inputs!$A$4:$S$81,Model!$C33,G$90)</f>
        <v>2.6526925122340031E-7</v>
      </c>
      <c r="H33" s="10">
        <f t="shared" si="1"/>
        <v>-0.46892887005970613</v>
      </c>
      <c r="I33" s="14">
        <f t="shared" si="2"/>
        <v>-0.70037316244225656</v>
      </c>
      <c r="J33" s="14">
        <f t="shared" si="3"/>
        <v>0.49551224510840786</v>
      </c>
      <c r="K33" s="10">
        <f t="shared" si="4"/>
        <v>6.9848092306432434</v>
      </c>
      <c r="L33" s="14">
        <f t="shared" si="5"/>
        <v>1.2671722898452429</v>
      </c>
      <c r="M33" s="14">
        <f t="shared" si="6"/>
        <v>1.3823088516251518</v>
      </c>
      <c r="N33" s="14">
        <f t="shared" si="7"/>
        <v>9.6342903721136395</v>
      </c>
      <c r="O33" s="14">
        <f t="shared" si="14"/>
        <v>0.53645547974681151</v>
      </c>
      <c r="P33" s="11">
        <f t="shared" si="15"/>
        <v>0.49522292517461608</v>
      </c>
      <c r="S33" s="26">
        <f t="shared" si="8"/>
        <v>0.54379896464316757</v>
      </c>
      <c r="T33" s="18">
        <f>INDEX(Inputs!R$4:R$81,Model!$C33)</f>
        <v>0.56662457934723087</v>
      </c>
      <c r="U33" s="10">
        <f>INDEX(Inputs!O$4:O$81,Model!$C33)</f>
        <v>13799089</v>
      </c>
      <c r="V33" s="14">
        <f>INDEX(Inputs!P$4:P$81,Model!$C33)</f>
        <v>7818903</v>
      </c>
      <c r="W33" s="11">
        <f>INDEX(Inputs!Q$4:Q$81,Model!$C33)</f>
        <v>5980186</v>
      </c>
      <c r="X33" s="10">
        <f t="shared" si="9"/>
        <v>7503930.311218923</v>
      </c>
      <c r="Y33" s="14">
        <f t="shared" si="10"/>
        <v>6295158.688781077</v>
      </c>
      <c r="Z33" s="14">
        <f t="shared" si="11"/>
        <v>-314972.68878107704</v>
      </c>
      <c r="AA33" s="11">
        <f t="shared" si="12"/>
        <v>314972.68878107704</v>
      </c>
      <c r="AB33" s="33">
        <f t="shared" si="16"/>
        <v>-4.0283488461370739E-2</v>
      </c>
      <c r="AC33" s="34">
        <f t="shared" si="17"/>
        <v>5.266937997933125E-2</v>
      </c>
      <c r="AD33" s="26">
        <f t="shared" si="18"/>
        <v>3.9581904262224403E-2</v>
      </c>
      <c r="AE33" s="18">
        <f t="shared" si="19"/>
        <v>3.9581904262224403E-2</v>
      </c>
      <c r="AF33" s="10" t="str">
        <f t="shared" si="13"/>
        <v>Gore District</v>
      </c>
      <c r="AG33" s="42">
        <f t="shared" si="20"/>
        <v>0.56999999999999995</v>
      </c>
      <c r="AH33" s="18">
        <f t="shared" si="21"/>
        <v>0.54</v>
      </c>
      <c r="AI33" s="1"/>
      <c r="AJ33" s="1">
        <f>MIN(V18,X18)</f>
        <v>11332393.17</v>
      </c>
      <c r="AK33" s="1">
        <f>X18-AJ33</f>
        <v>1108439.2947739493</v>
      </c>
      <c r="AL33" s="1">
        <f>V18-AJ33</f>
        <v>0</v>
      </c>
      <c r="AM33" s="1"/>
      <c r="AN33" s="1"/>
      <c r="AO33" s="1"/>
    </row>
    <row r="34" spans="1:41" x14ac:dyDescent="0.25">
      <c r="A34" s="94">
        <f t="shared" si="0"/>
        <v>32</v>
      </c>
      <c r="B34" s="95">
        <v>29</v>
      </c>
      <c r="C34">
        <f>MATCH(B34,Inputs!$A$4:$A$81,0)</f>
        <v>23</v>
      </c>
      <c r="D34" t="str">
        <f>INDEX(Inputs!$A$4:$S$81,Model!$C34,D$90)</f>
        <v>Hastings District</v>
      </c>
      <c r="E34">
        <f>INDEX(Inputs!$A$4:$S$81,Model!$C34,E$90)</f>
        <v>30667</v>
      </c>
      <c r="F34">
        <f>INDEX(Inputs!$A$4:$S$81,Model!$C34,F$90)</f>
        <v>1020.8356799523586</v>
      </c>
      <c r="G34">
        <f>INDEX(Inputs!$A$4:$S$81,Model!$C34,G$90)</f>
        <v>1.0526725175723782E-7</v>
      </c>
      <c r="H34" s="10">
        <f t="shared" si="1"/>
        <v>-0.14850978388353925</v>
      </c>
      <c r="I34" s="14">
        <f t="shared" si="2"/>
        <v>0.43862875931609024</v>
      </c>
      <c r="J34" s="14">
        <f t="shared" si="3"/>
        <v>-0.3840714365516435</v>
      </c>
      <c r="K34" s="10">
        <f t="shared" si="4"/>
        <v>6.6643901444670766</v>
      </c>
      <c r="L34" s="14">
        <f t="shared" si="5"/>
        <v>2.4061742116035898</v>
      </c>
      <c r="M34" s="14">
        <f t="shared" si="6"/>
        <v>0.50272516996510053</v>
      </c>
      <c r="N34" s="14">
        <f t="shared" si="7"/>
        <v>9.5732895260357651</v>
      </c>
      <c r="O34" s="14">
        <f t="shared" si="14"/>
        <v>0.53223927389745451</v>
      </c>
      <c r="P34" s="11">
        <f t="shared" si="15"/>
        <v>0.43422207909674171</v>
      </c>
      <c r="Q34" s="1"/>
      <c r="S34" s="26">
        <f t="shared" si="8"/>
        <v>0.53963565689835269</v>
      </c>
      <c r="T34" s="18">
        <f>INDEX(Inputs!R$4:R$81,Model!$C34)</f>
        <v>0.53490484344788247</v>
      </c>
      <c r="U34" s="10">
        <f>INDEX(Inputs!O$4:O$81,Model!$C34)</f>
        <v>75750748</v>
      </c>
      <c r="V34" s="14">
        <f>INDEX(Inputs!P$4:P$81,Model!$C34)</f>
        <v>40519442</v>
      </c>
      <c r="W34" s="11">
        <f>INDEX(Inputs!Q$4:Q$81,Model!$C34)</f>
        <v>35231306</v>
      </c>
      <c r="X34" s="10">
        <f t="shared" si="9"/>
        <v>40877804.657521576</v>
      </c>
      <c r="Y34" s="14">
        <f t="shared" si="10"/>
        <v>34872943.342478424</v>
      </c>
      <c r="Z34" s="14">
        <f t="shared" si="11"/>
        <v>358362.65752157569</v>
      </c>
      <c r="AA34" s="11">
        <f t="shared" si="12"/>
        <v>-358362.65752157569</v>
      </c>
      <c r="AB34" s="33">
        <f t="shared" si="16"/>
        <v>8.8442150195843193E-3</v>
      </c>
      <c r="AC34" s="34">
        <f t="shared" si="17"/>
        <v>-1.0171710850616088E-2</v>
      </c>
      <c r="AD34" s="26">
        <f t="shared" si="18"/>
        <v>-4.5034623338515656E-2</v>
      </c>
      <c r="AE34" s="18">
        <f t="shared" si="19"/>
        <v>-4.5034623338515656E-2</v>
      </c>
      <c r="AF34" s="10" t="str">
        <f t="shared" si="13"/>
        <v>Hastings District</v>
      </c>
      <c r="AG34" s="42">
        <f t="shared" si="20"/>
        <v>0.53</v>
      </c>
      <c r="AH34" s="18">
        <f t="shared" si="21"/>
        <v>0.54</v>
      </c>
      <c r="AI34" s="1"/>
      <c r="AJ34" s="1"/>
      <c r="AK34" s="1"/>
      <c r="AL34" s="1"/>
      <c r="AM34" s="1">
        <f>MIN(W18,Y18)</f>
        <v>8404643.5452260487</v>
      </c>
      <c r="AN34" s="1">
        <f>Y18-AM34</f>
        <v>0</v>
      </c>
      <c r="AO34" s="1">
        <f>W18-AM34</f>
        <v>1108439.2947739493</v>
      </c>
    </row>
    <row r="35" spans="1:41" x14ac:dyDescent="0.25">
      <c r="A35" s="94">
        <f t="shared" ref="A35:A66" si="22">RANK(P35,P$3:P$80,0)</f>
        <v>33</v>
      </c>
      <c r="B35" s="95">
        <v>81</v>
      </c>
      <c r="C35">
        <f>MATCH(B35,Inputs!$A$4:$A$81,0)</f>
        <v>68</v>
      </c>
      <c r="D35" t="str">
        <f>INDEX(Inputs!$A$4:$S$81,Model!$C35,D$90)</f>
        <v>Northland Regional</v>
      </c>
      <c r="E35">
        <f>INDEX(Inputs!$A$4:$S$81,Model!$C35,E$90)</f>
        <v>90772</v>
      </c>
      <c r="F35">
        <f>INDEX(Inputs!$A$4:$S$81,Model!$C35,F$90)</f>
        <v>1042.1326923076922</v>
      </c>
      <c r="G35">
        <f>INDEX(Inputs!$A$4:$S$81,Model!$C35,G$90)</f>
        <v>1.5902584751312717E-7</v>
      </c>
      <c r="H35" s="10">
        <f t="shared" ref="H35:H66" si="23">STANDARDIZE(E35,E$87,E$88)</f>
        <v>0.6632752934482139</v>
      </c>
      <c r="I35" s="14">
        <f t="shared" ref="I35:I66" si="24">STANDARDIZE(F35,F$87,F$88)</f>
        <v>0.94719260879043576</v>
      </c>
      <c r="J35" s="14">
        <f t="shared" ref="J35:J66" si="25">STANDARDIZE(G35,G$87,G$88)</f>
        <v>-8.8542732325422105E-2</v>
      </c>
      <c r="K35" s="10">
        <f t="shared" ref="K35:K66" si="26">IF(E$91=0,0,E$92*IF(E$91&lt;0,H35-H$82,H$83-H35))</f>
        <v>5.8526050671353236</v>
      </c>
      <c r="L35" s="14">
        <f t="shared" ref="L35:L66" si="27">IF(F$91=0,0,F$92*IF(F$91&lt;0,I35-I$82,I$83-I35))</f>
        <v>2.9147380610779354</v>
      </c>
      <c r="M35" s="14">
        <f t="shared" ref="M35:M66" si="28">IF(G$91=0,0,G$92*IF(G$91&lt;0,J35-J$82,J$83-J35))</f>
        <v>0.79825387419132199</v>
      </c>
      <c r="N35" s="14">
        <f t="shared" ref="N35:N66" si="29">SUM(K35:M35)</f>
        <v>9.5655970024045818</v>
      </c>
      <c r="O35" s="14">
        <f t="shared" si="14"/>
        <v>0.53170758843380195</v>
      </c>
      <c r="P35" s="11">
        <f t="shared" si="15"/>
        <v>0.42652955546555837</v>
      </c>
      <c r="S35" s="26">
        <f t="shared" ref="S35:S66" si="30">MAX(IF(B35=74,$R$11,$R$12),MIN($R$10,$R$12+$R$15*P35))</f>
        <v>0.5391106421605244</v>
      </c>
      <c r="T35" s="18">
        <f>INDEX(Inputs!R$4:R$81,Model!$C35)</f>
        <v>0.56314764868330836</v>
      </c>
      <c r="U35" s="10">
        <f>INDEX(Inputs!O$4:O$81,Model!$C35)</f>
        <v>5208167</v>
      </c>
      <c r="V35" s="14">
        <f>INDEX(Inputs!P$4:P$81,Model!$C35)</f>
        <v>2932967</v>
      </c>
      <c r="W35" s="11">
        <f>INDEX(Inputs!Q$4:Q$81,Model!$C35)</f>
        <v>2275200</v>
      </c>
      <c r="X35" s="10">
        <f t="shared" ref="X35:X66" si="31">U35*S35</f>
        <v>2807778.255849252</v>
      </c>
      <c r="Y35" s="14">
        <f t="shared" ref="Y35:Y66" si="32">U35-X35</f>
        <v>2400388.744150748</v>
      </c>
      <c r="Z35" s="14">
        <f t="shared" ref="Z35:Z66" si="33">X35-V35</f>
        <v>-125188.74415074801</v>
      </c>
      <c r="AA35" s="11">
        <f t="shared" ref="AA35:AA66" si="34">Y35-W35</f>
        <v>125188.74415074801</v>
      </c>
      <c r="AB35" s="33">
        <f t="shared" si="16"/>
        <v>-4.2683311524046474E-2</v>
      </c>
      <c r="AC35" s="34">
        <f t="shared" si="17"/>
        <v>5.5023182204091074E-2</v>
      </c>
      <c r="AD35" s="26">
        <f t="shared" si="18"/>
        <v>1.5732185875732069E-2</v>
      </c>
      <c r="AE35" s="18">
        <f t="shared" si="19"/>
        <v>1.5732185875732069E-2</v>
      </c>
      <c r="AF35" s="10" t="str">
        <f t="shared" ref="AF35:AF66" si="35">D35</f>
        <v>Northland Regional</v>
      </c>
      <c r="AG35" s="42">
        <f t="shared" si="20"/>
        <v>0.56000000000000005</v>
      </c>
      <c r="AH35" s="18">
        <f t="shared" si="21"/>
        <v>0.54</v>
      </c>
      <c r="AI35" s="1"/>
      <c r="AJ35" s="1">
        <f>MIN(V19,X19)</f>
        <v>6508587</v>
      </c>
      <c r="AK35" s="1">
        <f>X19-AJ35</f>
        <v>893156.64442524407</v>
      </c>
      <c r="AL35" s="1">
        <f>V19-AJ35</f>
        <v>0</v>
      </c>
      <c r="AM35" s="1"/>
      <c r="AN35" s="1"/>
      <c r="AO35" s="1"/>
    </row>
    <row r="36" spans="1:41" x14ac:dyDescent="0.25">
      <c r="A36" s="94">
        <f t="shared" si="22"/>
        <v>34</v>
      </c>
      <c r="B36" s="95">
        <v>3</v>
      </c>
      <c r="C36">
        <f>MATCH(B36,Inputs!$A$4:$A$81,0)</f>
        <v>3</v>
      </c>
      <c r="D36" t="str">
        <f>INDEX(Inputs!$A$4:$S$81,Model!$C36,D$90)</f>
        <v>Whangarei District</v>
      </c>
      <c r="E36">
        <f>INDEX(Inputs!$A$4:$S$81,Model!$C36,E$90)</f>
        <v>40272</v>
      </c>
      <c r="F36">
        <f>INDEX(Inputs!$A$4:$S$81,Model!$C36,F$90)</f>
        <v>1021.9225861163833</v>
      </c>
      <c r="G36">
        <f>INDEX(Inputs!$A$4:$S$81,Model!$C36,G$90)</f>
        <v>9.8986719854863103E-8</v>
      </c>
      <c r="H36" s="10">
        <f t="shared" si="23"/>
        <v>-1.8783543674380454E-2</v>
      </c>
      <c r="I36" s="14">
        <f t="shared" si="24"/>
        <v>0.46458362911524936</v>
      </c>
      <c r="J36" s="14">
        <f t="shared" si="25"/>
        <v>-0.41859758867415142</v>
      </c>
      <c r="K36" s="10">
        <f t="shared" si="26"/>
        <v>6.5346639042579175</v>
      </c>
      <c r="L36" s="14">
        <f t="shared" si="27"/>
        <v>2.4321290814027487</v>
      </c>
      <c r="M36" s="14">
        <f t="shared" si="28"/>
        <v>0.46819901784259266</v>
      </c>
      <c r="N36" s="14">
        <f t="shared" si="29"/>
        <v>9.4349920035032593</v>
      </c>
      <c r="O36" s="14">
        <f t="shared" si="14"/>
        <v>0.52268054052007207</v>
      </c>
      <c r="P36" s="11">
        <f t="shared" si="15"/>
        <v>0.29592455656423589</v>
      </c>
      <c r="S36" s="26">
        <f t="shared" si="30"/>
        <v>0.53019685098550906</v>
      </c>
      <c r="T36" s="18">
        <f>INDEX(Inputs!R$4:R$81,Model!$C36)</f>
        <v>0.53442556042935019</v>
      </c>
      <c r="U36" s="10">
        <f>INDEX(Inputs!O$4:O$81,Model!$C36)</f>
        <v>116891808</v>
      </c>
      <c r="V36" s="14">
        <f>INDEX(Inputs!P$4:P$81,Model!$C36)</f>
        <v>62469970</v>
      </c>
      <c r="W36" s="11">
        <f>INDEX(Inputs!Q$4:Q$81,Model!$C36)</f>
        <v>54421838</v>
      </c>
      <c r="X36" s="10">
        <f t="shared" si="31"/>
        <v>61975668.507602736</v>
      </c>
      <c r="Y36" s="14">
        <f t="shared" si="32"/>
        <v>54916139.492397264</v>
      </c>
      <c r="Z36" s="14">
        <f t="shared" si="33"/>
        <v>-494301.49239726365</v>
      </c>
      <c r="AA36" s="11">
        <f t="shared" si="34"/>
        <v>494301.49239726365</v>
      </c>
      <c r="AB36" s="33">
        <f t="shared" si="16"/>
        <v>-7.9126257367702225E-3</v>
      </c>
      <c r="AC36" s="34">
        <f t="shared" si="17"/>
        <v>9.0827783581521743E-3</v>
      </c>
      <c r="AD36" s="26">
        <f t="shared" si="18"/>
        <v>6.2117748762471704E-2</v>
      </c>
      <c r="AE36" s="18">
        <f t="shared" si="19"/>
        <v>6.2117748762471704E-2</v>
      </c>
      <c r="AF36" s="10" t="str">
        <f t="shared" si="35"/>
        <v>Whangarei District</v>
      </c>
      <c r="AG36" s="42">
        <f t="shared" si="20"/>
        <v>0.53</v>
      </c>
      <c r="AH36" s="18">
        <f t="shared" si="21"/>
        <v>0.53</v>
      </c>
      <c r="AI36" s="1"/>
      <c r="AJ36" s="1"/>
      <c r="AK36" s="1"/>
      <c r="AL36" s="1"/>
      <c r="AM36" s="1">
        <f>MIN(W19,Y19)</f>
        <v>5003421.3555747559</v>
      </c>
      <c r="AN36" s="1">
        <f>Y19-AM36</f>
        <v>0</v>
      </c>
      <c r="AO36" s="1">
        <f>W19-AM36</f>
        <v>893156.64442524407</v>
      </c>
    </row>
    <row r="37" spans="1:41" x14ac:dyDescent="0.25">
      <c r="A37" s="94">
        <f t="shared" si="22"/>
        <v>35</v>
      </c>
      <c r="B37" s="95">
        <v>36</v>
      </c>
      <c r="C37">
        <f>MATCH(B37,Inputs!$A$4:$A$81,0)</f>
        <v>30</v>
      </c>
      <c r="D37" t="str">
        <f>INDEX(Inputs!$A$4:$S$81,Model!$C37,D$90)</f>
        <v>Manawatu District</v>
      </c>
      <c r="E37">
        <f>INDEX(Inputs!$A$4:$S$81,Model!$C37,E$90)</f>
        <v>13870</v>
      </c>
      <c r="F37">
        <f>INDEX(Inputs!$A$4:$S$81,Model!$C37,F$90)</f>
        <v>982.91856677524424</v>
      </c>
      <c r="G37">
        <f>INDEX(Inputs!$A$4:$S$81,Model!$C37,G$90)</f>
        <v>1.9635615074229269E-7</v>
      </c>
      <c r="H37" s="10">
        <f t="shared" si="23"/>
        <v>-0.37537200739142473</v>
      </c>
      <c r="I37" s="14">
        <f t="shared" si="24"/>
        <v>-0.4668162259509861</v>
      </c>
      <c r="J37" s="14">
        <f t="shared" si="25"/>
        <v>0.11667423784587594</v>
      </c>
      <c r="K37" s="10">
        <f t="shared" si="26"/>
        <v>6.8912523679749622</v>
      </c>
      <c r="L37" s="14">
        <f t="shared" si="27"/>
        <v>1.5007292263365135</v>
      </c>
      <c r="M37" s="14">
        <f t="shared" si="28"/>
        <v>1.0034708443626199</v>
      </c>
      <c r="N37" s="14">
        <f t="shared" si="29"/>
        <v>9.395452438674095</v>
      </c>
      <c r="O37" s="14">
        <f t="shared" si="14"/>
        <v>0.51994767769549843</v>
      </c>
      <c r="P37" s="11">
        <f t="shared" si="15"/>
        <v>0.25638499173507157</v>
      </c>
      <c r="S37" s="26">
        <f t="shared" si="30"/>
        <v>0.52749827568591867</v>
      </c>
      <c r="T37" s="18">
        <f>INDEX(Inputs!R$4:R$81,Model!$C37)</f>
        <v>0.53020167818944341</v>
      </c>
      <c r="U37" s="10">
        <f>INDEX(Inputs!O$4:O$81,Model!$C37)</f>
        <v>41278534</v>
      </c>
      <c r="V37" s="14">
        <f>INDEX(Inputs!P$4:P$81,Model!$C37)</f>
        <v>21885948</v>
      </c>
      <c r="W37" s="11">
        <f>INDEX(Inputs!Q$4:Q$81,Model!$C37)</f>
        <v>19392586</v>
      </c>
      <c r="X37" s="10">
        <f t="shared" si="31"/>
        <v>21774355.507842567</v>
      </c>
      <c r="Y37" s="14">
        <f t="shared" si="32"/>
        <v>19504178.492157433</v>
      </c>
      <c r="Z37" s="14">
        <f t="shared" si="33"/>
        <v>-111592.49215743318</v>
      </c>
      <c r="AA37" s="11">
        <f t="shared" si="34"/>
        <v>111592.49215743318</v>
      </c>
      <c r="AB37" s="33">
        <f t="shared" si="16"/>
        <v>-5.0988192130143589E-3</v>
      </c>
      <c r="AC37" s="34">
        <f t="shared" si="17"/>
        <v>5.7543894433384583E-3</v>
      </c>
      <c r="AD37" s="26">
        <f t="shared" si="18"/>
        <v>1.4023575688584956E-2</v>
      </c>
      <c r="AE37" s="18">
        <f t="shared" si="19"/>
        <v>1.4023575688584956E-2</v>
      </c>
      <c r="AF37" s="10" t="str">
        <f t="shared" si="35"/>
        <v>Manawatu District</v>
      </c>
      <c r="AG37" s="42">
        <f t="shared" si="20"/>
        <v>0.53</v>
      </c>
      <c r="AH37" s="18">
        <f t="shared" si="21"/>
        <v>0.53</v>
      </c>
      <c r="AI37" s="1"/>
      <c r="AJ37" s="1">
        <f>MIN(V20,X20)</f>
        <v>22640229</v>
      </c>
      <c r="AK37" s="1">
        <f>X20-AJ37</f>
        <v>560626.71672495455</v>
      </c>
      <c r="AL37" s="1">
        <f>V20-AJ37</f>
        <v>0</v>
      </c>
      <c r="AM37" s="1"/>
      <c r="AN37" s="1"/>
      <c r="AO37" s="1"/>
    </row>
    <row r="38" spans="1:41" x14ac:dyDescent="0.25">
      <c r="A38" s="94">
        <f t="shared" si="22"/>
        <v>36</v>
      </c>
      <c r="B38" s="95">
        <v>42</v>
      </c>
      <c r="C38">
        <f>MATCH(B38,Inputs!$A$4:$A$81,0)</f>
        <v>36</v>
      </c>
      <c r="D38" t="str">
        <f>INDEX(Inputs!$A$4:$S$81,Model!$C38,D$90)</f>
        <v>Carterton District</v>
      </c>
      <c r="E38">
        <f>INDEX(Inputs!$A$4:$S$81,Model!$C38,E$90)</f>
        <v>4540</v>
      </c>
      <c r="F38">
        <f>INDEX(Inputs!$A$4:$S$81,Model!$C38,F$90)</f>
        <v>970.88393608074011</v>
      </c>
      <c r="G38">
        <f>INDEX(Inputs!$A$4:$S$81,Model!$C38,G$90)</f>
        <v>2.1965999187053212E-7</v>
      </c>
      <c r="H38" s="10">
        <f t="shared" si="23"/>
        <v>-0.50138406581427242</v>
      </c>
      <c r="I38" s="14">
        <f t="shared" si="24"/>
        <v>-0.75419823103614403</v>
      </c>
      <c r="J38" s="14">
        <f t="shared" si="25"/>
        <v>0.24478312676468375</v>
      </c>
      <c r="K38" s="10">
        <f t="shared" si="26"/>
        <v>7.0172644263978095</v>
      </c>
      <c r="L38" s="14">
        <f t="shared" si="27"/>
        <v>1.2133472212513556</v>
      </c>
      <c r="M38" s="14">
        <f t="shared" si="28"/>
        <v>1.1315797332814279</v>
      </c>
      <c r="N38" s="14">
        <f t="shared" si="29"/>
        <v>9.362191380930593</v>
      </c>
      <c r="O38" s="14">
        <f t="shared" si="14"/>
        <v>0.51764876751259814</v>
      </c>
      <c r="P38" s="11">
        <f t="shared" si="15"/>
        <v>0.2231239339915696</v>
      </c>
      <c r="S38" s="26">
        <f t="shared" si="30"/>
        <v>0.52522820849492469</v>
      </c>
      <c r="T38" s="18">
        <f>INDEX(Inputs!R$4:R$81,Model!$C38)</f>
        <v>0.53283629282440415</v>
      </c>
      <c r="U38" s="10">
        <f>INDEX(Inputs!O$4:O$81,Model!$C38)</f>
        <v>10961682</v>
      </c>
      <c r="V38" s="14">
        <f>INDEX(Inputs!P$4:P$81,Model!$C38)</f>
        <v>5840782</v>
      </c>
      <c r="W38" s="11">
        <f>INDEX(Inputs!Q$4:Q$81,Model!$C38)</f>
        <v>5120900</v>
      </c>
      <c r="X38" s="10">
        <f t="shared" si="31"/>
        <v>5757384.5989510631</v>
      </c>
      <c r="Y38" s="14">
        <f t="shared" si="32"/>
        <v>5204297.4010489369</v>
      </c>
      <c r="Z38" s="14">
        <f t="shared" si="33"/>
        <v>-83397.401048936881</v>
      </c>
      <c r="AA38" s="11">
        <f t="shared" si="34"/>
        <v>83397.401048936881</v>
      </c>
      <c r="AB38" s="33">
        <f t="shared" si="16"/>
        <v>-1.4278464946806246E-2</v>
      </c>
      <c r="AC38" s="34">
        <f t="shared" si="17"/>
        <v>1.6285692173043192E-2</v>
      </c>
      <c r="AD38" s="26">
        <f t="shared" si="18"/>
        <v>1.0480362461939501E-2</v>
      </c>
      <c r="AE38" s="18">
        <f t="shared" si="19"/>
        <v>1.0480362461939501E-2</v>
      </c>
      <c r="AF38" s="10" t="str">
        <f t="shared" si="35"/>
        <v>Carterton District</v>
      </c>
      <c r="AG38" s="42">
        <f t="shared" si="20"/>
        <v>0.53</v>
      </c>
      <c r="AH38" s="18">
        <f t="shared" si="21"/>
        <v>0.53</v>
      </c>
      <c r="AI38" s="1"/>
      <c r="AJ38" s="1"/>
      <c r="AK38" s="1"/>
      <c r="AL38" s="1"/>
      <c r="AM38" s="1">
        <f>MIN(W20,Y20)</f>
        <v>15763135.283275045</v>
      </c>
      <c r="AN38" s="1">
        <f>Y20-AM38</f>
        <v>0</v>
      </c>
      <c r="AO38" s="1">
        <f>W20-AM38</f>
        <v>560626.71672495455</v>
      </c>
    </row>
    <row r="39" spans="1:41" x14ac:dyDescent="0.25">
      <c r="A39" s="94">
        <f t="shared" si="22"/>
        <v>37</v>
      </c>
      <c r="B39" s="95">
        <v>47</v>
      </c>
      <c r="C39">
        <f>MATCH(B39,Inputs!$A$4:$A$81,0)</f>
        <v>41</v>
      </c>
      <c r="D39" t="str">
        <f>INDEX(Inputs!$A$4:$S$81,Model!$C39,D$90)</f>
        <v>South Wairarapa District</v>
      </c>
      <c r="E39">
        <f>INDEX(Inputs!$A$4:$S$81,Model!$C39,E$90)</f>
        <v>6551</v>
      </c>
      <c r="F39">
        <f>INDEX(Inputs!$A$4:$S$81,Model!$C39,F$90)</f>
        <v>974.01822477219037</v>
      </c>
      <c r="G39">
        <f>INDEX(Inputs!$A$4:$S$81,Model!$C39,G$90)</f>
        <v>2.0289690891130528E-7</v>
      </c>
      <c r="H39" s="10">
        <f t="shared" si="23"/>
        <v>-0.47422326736964787</v>
      </c>
      <c r="I39" s="14">
        <f t="shared" si="24"/>
        <v>-0.67935271300325162</v>
      </c>
      <c r="J39" s="14">
        <f t="shared" si="25"/>
        <v>0.15263093945175077</v>
      </c>
      <c r="K39" s="10">
        <f t="shared" si="26"/>
        <v>6.990103627953185</v>
      </c>
      <c r="L39" s="14">
        <f t="shared" si="27"/>
        <v>1.288192739284248</v>
      </c>
      <c r="M39" s="14">
        <f t="shared" si="28"/>
        <v>1.0394275459684947</v>
      </c>
      <c r="N39" s="14">
        <f t="shared" si="29"/>
        <v>9.3177239132059277</v>
      </c>
      <c r="O39" s="14">
        <f t="shared" si="14"/>
        <v>0.51457530198578427</v>
      </c>
      <c r="P39" s="11">
        <f t="shared" si="15"/>
        <v>0.17865646626690435</v>
      </c>
      <c r="S39" s="26">
        <f t="shared" si="30"/>
        <v>0.52219330382271623</v>
      </c>
      <c r="T39" s="18">
        <f>INDEX(Inputs!R$4:R$81,Model!$C39)</f>
        <v>0.60133057683730418</v>
      </c>
      <c r="U39" s="10">
        <f>INDEX(Inputs!O$4:O$81,Model!$C39)</f>
        <v>14737067</v>
      </c>
      <c r="V39" s="14">
        <f>INDEX(Inputs!P$4:P$81,Model!$C39)</f>
        <v>8861849</v>
      </c>
      <c r="W39" s="11">
        <f>INDEX(Inputs!Q$4:Q$81,Model!$C39)</f>
        <v>5875218</v>
      </c>
      <c r="X39" s="10">
        <f t="shared" si="31"/>
        <v>7695597.7053867253</v>
      </c>
      <c r="Y39" s="14">
        <f t="shared" si="32"/>
        <v>7041469.2946132747</v>
      </c>
      <c r="Z39" s="14">
        <f t="shared" si="33"/>
        <v>-1166251.2946132747</v>
      </c>
      <c r="AA39" s="11">
        <f t="shared" si="34"/>
        <v>1166251.2946132747</v>
      </c>
      <c r="AB39" s="33">
        <f t="shared" si="16"/>
        <v>-0.13160360717196543</v>
      </c>
      <c r="AC39" s="34">
        <f t="shared" si="17"/>
        <v>0.1985034929109481</v>
      </c>
      <c r="AD39" s="26">
        <f t="shared" si="18"/>
        <v>0.14656015817664525</v>
      </c>
      <c r="AE39" s="18">
        <f t="shared" si="19"/>
        <v>0.14656015817664525</v>
      </c>
      <c r="AF39" s="10" t="str">
        <f t="shared" si="35"/>
        <v>South Wairarapa District</v>
      </c>
      <c r="AG39" s="42">
        <f t="shared" si="20"/>
        <v>0.6</v>
      </c>
      <c r="AH39" s="18">
        <f t="shared" si="21"/>
        <v>0.52</v>
      </c>
      <c r="AI39" s="1"/>
      <c r="AJ39" s="1">
        <f>MIN(V21,X21)</f>
        <v>7924599</v>
      </c>
      <c r="AK39" s="1">
        <f>X21-AJ39</f>
        <v>1894401.372929547</v>
      </c>
      <c r="AL39" s="1">
        <f>V21-AJ39</f>
        <v>0</v>
      </c>
      <c r="AM39" s="1"/>
      <c r="AN39" s="1"/>
      <c r="AO39" s="1"/>
    </row>
    <row r="40" spans="1:41" x14ac:dyDescent="0.25">
      <c r="A40" s="94">
        <f t="shared" si="22"/>
        <v>38</v>
      </c>
      <c r="B40" s="95">
        <v>18</v>
      </c>
      <c r="C40">
        <f>MATCH(B40,Inputs!$A$4:$A$81,0)</f>
        <v>12</v>
      </c>
      <c r="D40" t="str">
        <f>INDEX(Inputs!$A$4:$S$81,Model!$C40,D$90)</f>
        <v>Waikato District</v>
      </c>
      <c r="E40">
        <f>INDEX(Inputs!$A$4:$S$81,Model!$C40,E$90)</f>
        <v>29906</v>
      </c>
      <c r="F40">
        <f>INDEX(Inputs!$A$4:$S$81,Model!$C40,F$90)</f>
        <v>1004.4058848299821</v>
      </c>
      <c r="G40">
        <f>INDEX(Inputs!$A$4:$S$81,Model!$C40,G$90)</f>
        <v>1.249350853418055E-7</v>
      </c>
      <c r="H40" s="10">
        <f t="shared" si="23"/>
        <v>-0.1587879378449312</v>
      </c>
      <c r="I40" s="14">
        <f t="shared" si="24"/>
        <v>4.6292044940373027E-2</v>
      </c>
      <c r="J40" s="14">
        <f t="shared" si="25"/>
        <v>-0.27595087848168154</v>
      </c>
      <c r="K40" s="10">
        <f t="shared" si="26"/>
        <v>6.6746682984284682</v>
      </c>
      <c r="L40" s="14">
        <f t="shared" si="27"/>
        <v>2.0138374972278728</v>
      </c>
      <c r="M40" s="14">
        <f t="shared" si="28"/>
        <v>0.61084572803506254</v>
      </c>
      <c r="N40" s="14">
        <f t="shared" si="29"/>
        <v>9.2993515236914028</v>
      </c>
      <c r="O40" s="14">
        <f t="shared" si="14"/>
        <v>0.51330545441614694</v>
      </c>
      <c r="P40" s="11">
        <f t="shared" si="15"/>
        <v>0.16028407675237943</v>
      </c>
      <c r="S40" s="26">
        <f t="shared" si="30"/>
        <v>0.52093938823834995</v>
      </c>
      <c r="T40" s="18">
        <f>INDEX(Inputs!R$4:R$81,Model!$C40)</f>
        <v>0.53240850097099346</v>
      </c>
      <c r="U40" s="10">
        <f>INDEX(Inputs!O$4:O$81,Model!$C40)</f>
        <v>113275221.47</v>
      </c>
      <c r="V40" s="14">
        <f>INDEX(Inputs!P$4:P$81,Model!$C40)</f>
        <v>60308690.859999999</v>
      </c>
      <c r="W40" s="11">
        <f>INDEX(Inputs!Q$4:Q$81,Model!$C40)</f>
        <v>52966530.609999999</v>
      </c>
      <c r="X40" s="10">
        <f t="shared" si="31"/>
        <v>59009524.575145401</v>
      </c>
      <c r="Y40" s="14">
        <f t="shared" si="32"/>
        <v>54265696.894854598</v>
      </c>
      <c r="Z40" s="14">
        <f t="shared" si="33"/>
        <v>-1299166.2848545983</v>
      </c>
      <c r="AA40" s="11">
        <f t="shared" si="34"/>
        <v>1299166.2848545983</v>
      </c>
      <c r="AB40" s="33">
        <f t="shared" si="16"/>
        <v>-2.1541941407258701E-2</v>
      </c>
      <c r="AC40" s="34">
        <f t="shared" si="17"/>
        <v>2.4528060831858937E-2</v>
      </c>
      <c r="AD40" s="26">
        <f t="shared" si="18"/>
        <v>0.16326328389559691</v>
      </c>
      <c r="AE40" s="18">
        <f t="shared" si="19"/>
        <v>0.16326328389559691</v>
      </c>
      <c r="AF40" s="10" t="str">
        <f t="shared" si="35"/>
        <v>Waikato District</v>
      </c>
      <c r="AG40" s="42">
        <f t="shared" si="20"/>
        <v>0.53</v>
      </c>
      <c r="AH40" s="18">
        <f t="shared" si="21"/>
        <v>0.52</v>
      </c>
      <c r="AI40" s="1"/>
      <c r="AJ40" s="1"/>
      <c r="AK40" s="1"/>
      <c r="AL40" s="1"/>
      <c r="AM40" s="1">
        <f>MIN(W21,Y21)</f>
        <v>6807497.627070453</v>
      </c>
      <c r="AN40" s="1">
        <f>Y21-AM40</f>
        <v>0</v>
      </c>
      <c r="AO40" s="1">
        <f>W21-AM40</f>
        <v>1894401.372929547</v>
      </c>
    </row>
    <row r="41" spans="1:41" x14ac:dyDescent="0.25">
      <c r="A41" s="94">
        <f t="shared" si="22"/>
        <v>39</v>
      </c>
      <c r="B41" s="95">
        <v>50</v>
      </c>
      <c r="C41">
        <f>MATCH(B41,Inputs!$A$4:$A$81,0)</f>
        <v>44</v>
      </c>
      <c r="D41" t="str">
        <f>INDEX(Inputs!$A$4:$S$81,Model!$C41,D$90)</f>
        <v>Kaikoura District</v>
      </c>
      <c r="E41">
        <f>INDEX(Inputs!$A$4:$S$81,Model!$C41,E$90)</f>
        <v>2990</v>
      </c>
      <c r="F41">
        <f>INDEX(Inputs!$A$4:$S$81,Model!$C41,F$90)</f>
        <v>979.36400651465794</v>
      </c>
      <c r="G41">
        <f>INDEX(Inputs!$A$4:$S$81,Model!$C41,G$90)</f>
        <v>1.4285433385314401E-7</v>
      </c>
      <c r="H41" s="10">
        <f t="shared" si="23"/>
        <v>-0.52231854497348074</v>
      </c>
      <c r="I41" s="14">
        <f t="shared" si="24"/>
        <v>-0.55169765528722736</v>
      </c>
      <c r="J41" s="14">
        <f t="shared" si="25"/>
        <v>-0.177442868389484</v>
      </c>
      <c r="K41" s="10">
        <f t="shared" si="26"/>
        <v>7.0381989055570182</v>
      </c>
      <c r="L41" s="14">
        <f t="shared" si="27"/>
        <v>1.4158477970002723</v>
      </c>
      <c r="M41" s="14">
        <f t="shared" si="28"/>
        <v>0.7093537381272601</v>
      </c>
      <c r="N41" s="14">
        <f t="shared" si="29"/>
        <v>9.1634004406845513</v>
      </c>
      <c r="O41" s="14">
        <f t="shared" si="14"/>
        <v>0.50390890029838653</v>
      </c>
      <c r="P41" s="11">
        <f t="shared" si="15"/>
        <v>2.4332993745527887E-2</v>
      </c>
      <c r="S41" s="26">
        <f t="shared" si="30"/>
        <v>0.51166072682313224</v>
      </c>
      <c r="T41" s="18">
        <f>INDEX(Inputs!R$4:R$81,Model!$C41)</f>
        <v>0.48217804797155883</v>
      </c>
      <c r="U41" s="10">
        <f>INDEX(Inputs!O$4:O$81,Model!$C41)</f>
        <v>3060355</v>
      </c>
      <c r="V41" s="14">
        <f>INDEX(Inputs!P$4:P$81,Model!$C41)</f>
        <v>1475636</v>
      </c>
      <c r="W41" s="11">
        <f>INDEX(Inputs!Q$4:Q$81,Model!$C41)</f>
        <v>1584719</v>
      </c>
      <c r="X41" s="10">
        <f t="shared" si="31"/>
        <v>1565863.4636368069</v>
      </c>
      <c r="Y41" s="14">
        <f t="shared" si="32"/>
        <v>1494491.5363631931</v>
      </c>
      <c r="Z41" s="14">
        <f t="shared" si="33"/>
        <v>90227.463636806933</v>
      </c>
      <c r="AA41" s="11">
        <f t="shared" si="34"/>
        <v>-90227.463636806933</v>
      </c>
      <c r="AB41" s="33">
        <f t="shared" si="16"/>
        <v>6.1144796980289809E-2</v>
      </c>
      <c r="AC41" s="34">
        <f t="shared" si="17"/>
        <v>-5.6935938571322064E-2</v>
      </c>
      <c r="AD41" s="26">
        <f t="shared" si="18"/>
        <v>-1.1338680954581822E-2</v>
      </c>
      <c r="AE41" s="18">
        <f t="shared" si="19"/>
        <v>-1.1338680954581822E-2</v>
      </c>
      <c r="AF41" s="10" t="str">
        <f t="shared" si="35"/>
        <v>Kaikoura District</v>
      </c>
      <c r="AG41" s="42">
        <f t="shared" si="20"/>
        <v>0.48</v>
      </c>
      <c r="AH41" s="18">
        <f t="shared" si="21"/>
        <v>0.51</v>
      </c>
      <c r="AI41" s="1"/>
      <c r="AJ41" s="1">
        <f>MIN(V22,X22)</f>
        <v>31966602.255491193</v>
      </c>
      <c r="AK41" s="1">
        <f>X22-AJ41</f>
        <v>0</v>
      </c>
      <c r="AL41" s="1">
        <f>V22-AJ41</f>
        <v>1528743.7445088066</v>
      </c>
      <c r="AM41" s="1"/>
      <c r="AN41" s="1"/>
      <c r="AO41" s="1"/>
    </row>
    <row r="42" spans="1:41" x14ac:dyDescent="0.25">
      <c r="A42" s="94">
        <f t="shared" si="22"/>
        <v>40</v>
      </c>
      <c r="B42" s="95">
        <v>30</v>
      </c>
      <c r="C42">
        <f>MATCH(B42,Inputs!$A$4:$A$81,0)</f>
        <v>24</v>
      </c>
      <c r="D42" t="str">
        <f>INDEX(Inputs!$A$4:$S$81,Model!$C42,D$90)</f>
        <v>Napier City</v>
      </c>
      <c r="E42">
        <f>INDEX(Inputs!$A$4:$S$81,Model!$C42,E$90)</f>
        <v>24983</v>
      </c>
      <c r="F42">
        <f>INDEX(Inputs!$A$4:$S$81,Model!$C42,F$90)</f>
        <v>1014.3476475989845</v>
      </c>
      <c r="G42">
        <f>INDEX(Inputs!$A$4:$S$81,Model!$C42,G$90)</f>
        <v>3.6071414612210889E-8</v>
      </c>
      <c r="H42" s="10">
        <f t="shared" si="23"/>
        <v>-0.22527854487769422</v>
      </c>
      <c r="I42" s="14">
        <f t="shared" si="24"/>
        <v>0.28369722929236307</v>
      </c>
      <c r="J42" s="14">
        <f t="shared" si="25"/>
        <v>-0.76446374036434472</v>
      </c>
      <c r="K42" s="10">
        <f t="shared" si="26"/>
        <v>6.7411589054612318</v>
      </c>
      <c r="L42" s="14">
        <f t="shared" si="27"/>
        <v>2.2512426815798627</v>
      </c>
      <c r="M42" s="14">
        <f t="shared" si="28"/>
        <v>0.12233286615239936</v>
      </c>
      <c r="N42" s="14">
        <f t="shared" si="29"/>
        <v>9.1147344531934937</v>
      </c>
      <c r="O42" s="14">
        <f t="shared" si="14"/>
        <v>0.50054524496707198</v>
      </c>
      <c r="P42" s="11">
        <f t="shared" si="15"/>
        <v>-2.4332993745529663E-2</v>
      </c>
      <c r="S42" s="26">
        <f t="shared" si="30"/>
        <v>0.51</v>
      </c>
      <c r="T42" s="18">
        <f>INDEX(Inputs!R$4:R$81,Model!$C42)</f>
        <v>0.49020505220919286</v>
      </c>
      <c r="U42" s="10">
        <f>INDEX(Inputs!O$4:O$81,Model!$C42)</f>
        <v>26172115</v>
      </c>
      <c r="V42" s="14">
        <f>INDEX(Inputs!P$4:P$81,Model!$C42)</f>
        <v>12829703</v>
      </c>
      <c r="W42" s="11">
        <f>INDEX(Inputs!Q$4:Q$81,Model!$C42)</f>
        <v>13342412</v>
      </c>
      <c r="X42" s="10">
        <f t="shared" si="31"/>
        <v>13347778.65</v>
      </c>
      <c r="Y42" s="14">
        <f t="shared" si="32"/>
        <v>12824336.35</v>
      </c>
      <c r="Z42" s="14">
        <f t="shared" si="33"/>
        <v>518075.65000000037</v>
      </c>
      <c r="AA42" s="11">
        <f t="shared" si="34"/>
        <v>-518075.65000000037</v>
      </c>
      <c r="AB42" s="33">
        <f t="shared" si="16"/>
        <v>4.0380954259034707E-2</v>
      </c>
      <c r="AC42" s="34">
        <f t="shared" si="17"/>
        <v>-3.8829234923940317E-2</v>
      </c>
      <c r="AD42" s="26">
        <f t="shared" si="18"/>
        <v>-6.5105393290599736E-2</v>
      </c>
      <c r="AE42" s="18">
        <f t="shared" si="19"/>
        <v>-6.5105393290599736E-2</v>
      </c>
      <c r="AF42" s="10" t="str">
        <f t="shared" si="35"/>
        <v>Napier City</v>
      </c>
      <c r="AG42" s="42">
        <f t="shared" si="20"/>
        <v>0.49</v>
      </c>
      <c r="AH42" s="18">
        <f t="shared" si="21"/>
        <v>0.51</v>
      </c>
      <c r="AI42" s="1"/>
      <c r="AJ42" s="1"/>
      <c r="AK42" s="1"/>
      <c r="AL42" s="1"/>
      <c r="AM42" s="1">
        <f>MIN(W22,Y22)</f>
        <v>21061204</v>
      </c>
      <c r="AN42" s="1">
        <f>Y22-AM42</f>
        <v>1528743.7445088066</v>
      </c>
      <c r="AO42" s="1">
        <f>W22-AM42</f>
        <v>0</v>
      </c>
    </row>
    <row r="43" spans="1:41" x14ac:dyDescent="0.25">
      <c r="A43" s="94">
        <f t="shared" si="22"/>
        <v>41</v>
      </c>
      <c r="B43" s="95">
        <v>17</v>
      </c>
      <c r="C43">
        <f>MATCH(B43,Inputs!$A$4:$A$81,0)</f>
        <v>11</v>
      </c>
      <c r="D43" t="str">
        <f>INDEX(Inputs!$A$4:$S$81,Model!$C43,D$90)</f>
        <v>Thames-Coromandel District</v>
      </c>
      <c r="E43">
        <f>INDEX(Inputs!$A$4:$S$81,Model!$C43,E$90)</f>
        <v>26982</v>
      </c>
      <c r="F43">
        <f>INDEX(Inputs!$A$4:$S$81,Model!$C43,F$90)</f>
        <v>1009.5400444288554</v>
      </c>
      <c r="G43">
        <f>INDEX(Inputs!$A$4:$S$81,Model!$C43,G$90)</f>
        <v>4.7463919245090933E-8</v>
      </c>
      <c r="H43" s="10">
        <f t="shared" si="23"/>
        <v>-0.19827981982010875</v>
      </c>
      <c r="I43" s="14">
        <f t="shared" si="24"/>
        <v>0.16889365336573167</v>
      </c>
      <c r="J43" s="14">
        <f t="shared" si="25"/>
        <v>-0.70183539070777035</v>
      </c>
      <c r="K43" s="10">
        <f t="shared" si="26"/>
        <v>6.7141601804036464</v>
      </c>
      <c r="L43" s="14">
        <f t="shared" si="27"/>
        <v>2.1364391056532313</v>
      </c>
      <c r="M43" s="14">
        <f t="shared" si="28"/>
        <v>0.18496121580897373</v>
      </c>
      <c r="N43" s="14">
        <f t="shared" si="29"/>
        <v>9.0355605018658505</v>
      </c>
      <c r="O43" s="14">
        <f t="shared" si="14"/>
        <v>0.49507296551248586</v>
      </c>
      <c r="P43" s="11">
        <f t="shared" si="15"/>
        <v>-0.10350694507317293</v>
      </c>
      <c r="S43" s="26">
        <f t="shared" si="30"/>
        <v>0.51</v>
      </c>
      <c r="T43" s="18">
        <f>INDEX(Inputs!R$4:R$81,Model!$C43)</f>
        <v>0.4436439722260882</v>
      </c>
      <c r="U43" s="10">
        <f>INDEX(Inputs!O$4:O$81,Model!$C43)</f>
        <v>42838186</v>
      </c>
      <c r="V43" s="14">
        <f>INDEX(Inputs!P$4:P$81,Model!$C43)</f>
        <v>19004903</v>
      </c>
      <c r="W43" s="11">
        <f>INDEX(Inputs!Q$4:Q$81,Model!$C43)</f>
        <v>23833283</v>
      </c>
      <c r="X43" s="10">
        <f t="shared" si="31"/>
        <v>21847474.859999999</v>
      </c>
      <c r="Y43" s="14">
        <f t="shared" si="32"/>
        <v>20990711.140000001</v>
      </c>
      <c r="Z43" s="14">
        <f t="shared" si="33"/>
        <v>2842571.8599999994</v>
      </c>
      <c r="AA43" s="11">
        <f t="shared" si="34"/>
        <v>-2842571.8599999994</v>
      </c>
      <c r="AB43" s="33">
        <f t="shared" si="16"/>
        <v>0.14957044821538945</v>
      </c>
      <c r="AC43" s="34">
        <f t="shared" si="17"/>
        <v>-0.1192690012534152</v>
      </c>
      <c r="AD43" s="26">
        <f t="shared" si="18"/>
        <v>-0.35721956610408434</v>
      </c>
      <c r="AE43" s="18">
        <f t="shared" si="19"/>
        <v>-0.35721956610408434</v>
      </c>
      <c r="AF43" s="10" t="str">
        <f t="shared" si="35"/>
        <v>Thames-Coromandel District</v>
      </c>
      <c r="AG43" s="42">
        <f t="shared" si="20"/>
        <v>0.44</v>
      </c>
      <c r="AH43" s="18">
        <f t="shared" si="21"/>
        <v>0.51</v>
      </c>
      <c r="AI43" s="1"/>
      <c r="AJ43" s="1">
        <f>MIN(V23,X23)</f>
        <v>25010931</v>
      </c>
      <c r="AK43" s="1">
        <f>X23-AJ43</f>
        <v>3248180.0312938765</v>
      </c>
      <c r="AL43" s="1">
        <f>V23-AJ43</f>
        <v>0</v>
      </c>
      <c r="AM43" s="1"/>
      <c r="AN43" s="1"/>
      <c r="AO43" s="1"/>
    </row>
    <row r="44" spans="1:41" x14ac:dyDescent="0.25">
      <c r="A44" s="94">
        <f t="shared" si="22"/>
        <v>42</v>
      </c>
      <c r="B44" s="95">
        <v>58</v>
      </c>
      <c r="C44">
        <f>MATCH(B44,Inputs!$A$4:$A$81,0)</f>
        <v>51</v>
      </c>
      <c r="D44" t="str">
        <f>INDEX(Inputs!$A$4:$S$81,Model!$C44,D$90)</f>
        <v>Mackenzie District</v>
      </c>
      <c r="E44">
        <f>INDEX(Inputs!$A$4:$S$81,Model!$C44,E$90)</f>
        <v>4383</v>
      </c>
      <c r="F44">
        <f>INDEX(Inputs!$A$4:$S$81,Model!$C44,F$90)</f>
        <v>954.9023255813953</v>
      </c>
      <c r="G44">
        <f>INDEX(Inputs!$A$4:$S$81,Model!$C44,G$90)</f>
        <v>2.2810283848471498E-7</v>
      </c>
      <c r="H44" s="10">
        <f t="shared" si="23"/>
        <v>-0.50350452596136641</v>
      </c>
      <c r="I44" s="14">
        <f t="shared" si="24"/>
        <v>-1.1358324819225576</v>
      </c>
      <c r="J44" s="14">
        <f t="shared" si="25"/>
        <v>0.29119623493440117</v>
      </c>
      <c r="K44" s="10">
        <f t="shared" si="26"/>
        <v>7.0193848865449038</v>
      </c>
      <c r="L44" s="14">
        <f t="shared" si="27"/>
        <v>0.83171297036494196</v>
      </c>
      <c r="M44" s="14">
        <f t="shared" si="28"/>
        <v>1.1779928414511454</v>
      </c>
      <c r="N44" s="14">
        <f t="shared" si="29"/>
        <v>9.0290906983609904</v>
      </c>
      <c r="O44" s="14">
        <f t="shared" si="14"/>
        <v>0.49462579100368387</v>
      </c>
      <c r="P44" s="11">
        <f t="shared" si="15"/>
        <v>-0.10997674857803297</v>
      </c>
      <c r="S44" s="26">
        <f t="shared" si="30"/>
        <v>0.51</v>
      </c>
      <c r="T44" s="18">
        <f>INDEX(Inputs!R$4:R$81,Model!$C44)</f>
        <v>0.54551893344169655</v>
      </c>
      <c r="U44" s="10">
        <f>INDEX(Inputs!O$4:O$81,Model!$C44)</f>
        <v>10119053</v>
      </c>
      <c r="V44" s="14">
        <f>INDEX(Inputs!P$4:P$81,Model!$C44)</f>
        <v>5520135</v>
      </c>
      <c r="W44" s="11">
        <f>INDEX(Inputs!Q$4:Q$81,Model!$C44)</f>
        <v>4598918</v>
      </c>
      <c r="X44" s="10">
        <f t="shared" si="31"/>
        <v>5160717.03</v>
      </c>
      <c r="Y44" s="14">
        <f t="shared" si="32"/>
        <v>4958335.97</v>
      </c>
      <c r="Z44" s="14">
        <f t="shared" si="33"/>
        <v>-359417.96999999974</v>
      </c>
      <c r="AA44" s="11">
        <f t="shared" si="34"/>
        <v>359417.96999999974</v>
      </c>
      <c r="AB44" s="33">
        <f t="shared" si="16"/>
        <v>-6.5110358714053143E-2</v>
      </c>
      <c r="AC44" s="34">
        <f t="shared" si="17"/>
        <v>7.8152724184253716E-2</v>
      </c>
      <c r="AD44" s="26">
        <f t="shared" si="18"/>
        <v>4.5167242066981812E-2</v>
      </c>
      <c r="AE44" s="18">
        <f t="shared" si="19"/>
        <v>4.5167242066981812E-2</v>
      </c>
      <c r="AF44" s="10" t="str">
        <f t="shared" si="35"/>
        <v>Mackenzie District</v>
      </c>
      <c r="AG44" s="42">
        <f t="shared" si="20"/>
        <v>0.55000000000000004</v>
      </c>
      <c r="AH44" s="18">
        <f t="shared" si="21"/>
        <v>0.51</v>
      </c>
      <c r="AI44" s="1"/>
      <c r="AJ44" s="1"/>
      <c r="AK44" s="1"/>
      <c r="AL44" s="1"/>
      <c r="AM44" s="1">
        <f>MIN(W23,Y23)</f>
        <v>20347560.968706124</v>
      </c>
      <c r="AN44" s="1">
        <f>Y23-AM44</f>
        <v>0</v>
      </c>
      <c r="AO44" s="1">
        <f>W23-AM44</f>
        <v>3248180.0312938765</v>
      </c>
    </row>
    <row r="45" spans="1:41" x14ac:dyDescent="0.25">
      <c r="A45" s="94">
        <f t="shared" si="22"/>
        <v>43</v>
      </c>
      <c r="B45" s="95">
        <v>16</v>
      </c>
      <c r="C45">
        <f>MATCH(B45,Inputs!$A$4:$A$81,0)</f>
        <v>10</v>
      </c>
      <c r="D45" t="str">
        <f>INDEX(Inputs!$A$4:$S$81,Model!$C45,D$90)</f>
        <v>Taupo District</v>
      </c>
      <c r="E45">
        <f>INDEX(Inputs!$A$4:$S$81,Model!$C45,E$90)</f>
        <v>22647</v>
      </c>
      <c r="F45">
        <f>INDEX(Inputs!$A$4:$S$81,Model!$C45,F$90)</f>
        <v>1004.3522252160178</v>
      </c>
      <c r="G45">
        <f>INDEX(Inputs!$A$4:$S$81,Model!$C45,G$90)</f>
        <v>5.4527633212194322E-8</v>
      </c>
      <c r="H45" s="10">
        <f t="shared" si="23"/>
        <v>-0.25682883088795916</v>
      </c>
      <c r="I45" s="14">
        <f t="shared" si="24"/>
        <v>4.5010675545281716E-2</v>
      </c>
      <c r="J45" s="14">
        <f t="shared" si="25"/>
        <v>-0.66300382886411802</v>
      </c>
      <c r="K45" s="10">
        <f t="shared" si="26"/>
        <v>6.7727091914714963</v>
      </c>
      <c r="L45" s="14">
        <f t="shared" si="27"/>
        <v>2.0125561278327813</v>
      </c>
      <c r="M45" s="14">
        <f t="shared" si="28"/>
        <v>0.22379277765262606</v>
      </c>
      <c r="N45" s="14">
        <f t="shared" si="29"/>
        <v>9.0090580969569043</v>
      </c>
      <c r="O45" s="14">
        <f t="shared" si="14"/>
        <v>0.49324119428661661</v>
      </c>
      <c r="P45" s="11">
        <f t="shared" si="15"/>
        <v>-0.1300093499821191</v>
      </c>
      <c r="S45" s="26">
        <f t="shared" si="30"/>
        <v>0.51</v>
      </c>
      <c r="T45" s="18">
        <f>INDEX(Inputs!R$4:R$81,Model!$C45)</f>
        <v>0.51489651966137762</v>
      </c>
      <c r="U45" s="10">
        <f>INDEX(Inputs!O$4:O$81,Model!$C45)</f>
        <v>102026193</v>
      </c>
      <c r="V45" s="14">
        <f>INDEX(Inputs!P$4:P$81,Model!$C45)</f>
        <v>52532931.690000005</v>
      </c>
      <c r="W45" s="11">
        <f>INDEX(Inputs!Q$4:Q$81,Model!$C45)</f>
        <v>49493261.309999995</v>
      </c>
      <c r="X45" s="10">
        <f t="shared" si="31"/>
        <v>52033358.43</v>
      </c>
      <c r="Y45" s="14">
        <f t="shared" si="32"/>
        <v>49992834.57</v>
      </c>
      <c r="Z45" s="14">
        <f t="shared" si="33"/>
        <v>-499573.26000000536</v>
      </c>
      <c r="AA45" s="11">
        <f t="shared" si="34"/>
        <v>499573.26000000536</v>
      </c>
      <c r="AB45" s="33">
        <f t="shared" si="16"/>
        <v>-9.5097159805970326E-3</v>
      </c>
      <c r="AC45" s="34">
        <f t="shared" si="17"/>
        <v>1.0093763206892729E-2</v>
      </c>
      <c r="AD45" s="26">
        <f t="shared" si="18"/>
        <v>6.2780239854483347E-2</v>
      </c>
      <c r="AE45" s="18">
        <f t="shared" si="19"/>
        <v>6.2780239854483347E-2</v>
      </c>
      <c r="AF45" s="10" t="str">
        <f t="shared" si="35"/>
        <v>Taupo District</v>
      </c>
      <c r="AG45" s="42">
        <f t="shared" si="20"/>
        <v>0.51</v>
      </c>
      <c r="AH45" s="18">
        <f t="shared" si="21"/>
        <v>0.51</v>
      </c>
      <c r="AI45" s="1"/>
      <c r="AJ45" s="1">
        <f>MIN(V24,X24)</f>
        <v>377942.80286500545</v>
      </c>
      <c r="AK45" s="1">
        <f>X24-AJ45</f>
        <v>0</v>
      </c>
      <c r="AL45" s="1">
        <f>V24-AJ45</f>
        <v>56572.197134994552</v>
      </c>
      <c r="AM45" s="1"/>
      <c r="AN45" s="1"/>
      <c r="AO45" s="1"/>
    </row>
    <row r="46" spans="1:41" x14ac:dyDescent="0.25">
      <c r="A46" s="94">
        <f t="shared" si="22"/>
        <v>44</v>
      </c>
      <c r="B46" s="95">
        <v>88</v>
      </c>
      <c r="C46">
        <f>MATCH(B46,Inputs!$A$4:$A$81,0)</f>
        <v>73</v>
      </c>
      <c r="D46" t="str">
        <f>INDEX(Inputs!$A$4:$S$81,Model!$C46,D$90)</f>
        <v>Manawatu-Wanganui Regional</v>
      </c>
      <c r="E46">
        <f>INDEX(Inputs!$A$4:$S$81,Model!$C46,E$90)</f>
        <v>103996</v>
      </c>
      <c r="F46">
        <f>INDEX(Inputs!$A$4:$S$81,Model!$C46,F$90)</f>
        <v>1016.513170675133</v>
      </c>
      <c r="G46">
        <f>INDEX(Inputs!$A$4:$S$81,Model!$C46,G$90)</f>
        <v>1.9951048688611183E-7</v>
      </c>
      <c r="H46" s="10">
        <f t="shared" si="23"/>
        <v>0.84188016596522752</v>
      </c>
      <c r="I46" s="14">
        <f t="shared" si="24"/>
        <v>0.33540902498260633</v>
      </c>
      <c r="J46" s="14">
        <f t="shared" si="25"/>
        <v>0.13401466238951146</v>
      </c>
      <c r="K46" s="10">
        <f t="shared" si="26"/>
        <v>5.6740001946183103</v>
      </c>
      <c r="L46" s="14">
        <f t="shared" si="27"/>
        <v>2.3029544772701058</v>
      </c>
      <c r="M46" s="14">
        <f t="shared" si="28"/>
        <v>1.0208112689062556</v>
      </c>
      <c r="N46" s="14">
        <f t="shared" si="29"/>
        <v>8.9977659407946717</v>
      </c>
      <c r="O46" s="14">
        <f t="shared" si="14"/>
        <v>0.49246071240932793</v>
      </c>
      <c r="P46" s="11">
        <f t="shared" si="15"/>
        <v>-0.14130150614435166</v>
      </c>
      <c r="S46" s="26">
        <f t="shared" si="30"/>
        <v>0.51</v>
      </c>
      <c r="T46" s="18">
        <f>INDEX(Inputs!R$4:R$81,Model!$C46)</f>
        <v>0.57852684671452725</v>
      </c>
      <c r="U46" s="10">
        <f>INDEX(Inputs!O$4:O$81,Model!$C46)</f>
        <v>20861305</v>
      </c>
      <c r="V46" s="14">
        <f>INDEX(Inputs!P$4:P$81,Model!$C46)</f>
        <v>12068825</v>
      </c>
      <c r="W46" s="11">
        <f>INDEX(Inputs!Q$4:Q$81,Model!$C46)</f>
        <v>8792480</v>
      </c>
      <c r="X46" s="10">
        <f t="shared" si="31"/>
        <v>10639265.550000001</v>
      </c>
      <c r="Y46" s="14">
        <f t="shared" si="32"/>
        <v>10222039.449999999</v>
      </c>
      <c r="Z46" s="14">
        <f t="shared" si="33"/>
        <v>-1429559.4499999993</v>
      </c>
      <c r="AA46" s="11">
        <f t="shared" si="34"/>
        <v>1429559.4499999993</v>
      </c>
      <c r="AB46" s="33">
        <f t="shared" si="16"/>
        <v>-0.11845059067473422</v>
      </c>
      <c r="AC46" s="34">
        <f t="shared" si="17"/>
        <v>0.1625888770858733</v>
      </c>
      <c r="AD46" s="26">
        <f t="shared" si="18"/>
        <v>0.17964949756766863</v>
      </c>
      <c r="AE46" s="18">
        <f t="shared" si="19"/>
        <v>0.17964949756766863</v>
      </c>
      <c r="AF46" s="10" t="str">
        <f t="shared" si="35"/>
        <v>Manawatu-Wanganui Regional</v>
      </c>
      <c r="AG46" s="42">
        <f t="shared" si="20"/>
        <v>0.57999999999999996</v>
      </c>
      <c r="AH46" s="18">
        <f t="shared" si="21"/>
        <v>0.51</v>
      </c>
      <c r="AI46" s="1"/>
      <c r="AJ46" s="1"/>
      <c r="AK46" s="1"/>
      <c r="AL46" s="1"/>
      <c r="AM46" s="1">
        <f>MIN(W24,Y24)</f>
        <v>218038</v>
      </c>
      <c r="AN46" s="1">
        <f>Y24-AM46</f>
        <v>56572.197134994552</v>
      </c>
      <c r="AO46" s="1">
        <f>W24-AM46</f>
        <v>0</v>
      </c>
    </row>
    <row r="47" spans="1:41" x14ac:dyDescent="0.25">
      <c r="A47" s="94">
        <f t="shared" si="22"/>
        <v>45</v>
      </c>
      <c r="B47" s="95">
        <v>72</v>
      </c>
      <c r="C47">
        <f>MATCH(B47,Inputs!$A$4:$A$81,0)</f>
        <v>65</v>
      </c>
      <c r="D47" t="str">
        <f>INDEX(Inputs!$A$4:$S$81,Model!$C47,D$90)</f>
        <v>Invercargill City</v>
      </c>
      <c r="E47">
        <f>INDEX(Inputs!$A$4:$S$81,Model!$C47,E$90)</f>
        <v>25221</v>
      </c>
      <c r="F47">
        <f>INDEX(Inputs!$A$4:$S$81,Model!$C47,F$90)</f>
        <v>998.31301472798316</v>
      </c>
      <c r="G47">
        <f>INDEX(Inputs!$A$4:$S$81,Model!$C47,G$90)</f>
        <v>8.4190912989666375E-8</v>
      </c>
      <c r="H47" s="10">
        <f t="shared" si="23"/>
        <v>-0.22206408936808675</v>
      </c>
      <c r="I47" s="14">
        <f t="shared" si="24"/>
        <v>-9.9203173906309228E-2</v>
      </c>
      <c r="J47" s="14">
        <f t="shared" si="25"/>
        <v>-0.49993501145037778</v>
      </c>
      <c r="K47" s="10">
        <f t="shared" si="26"/>
        <v>6.7379444499516241</v>
      </c>
      <c r="L47" s="14">
        <f t="shared" si="27"/>
        <v>1.8683422783811903</v>
      </c>
      <c r="M47" s="14">
        <f t="shared" si="28"/>
        <v>0.3868615950663663</v>
      </c>
      <c r="N47" s="14">
        <f t="shared" si="29"/>
        <v>8.9931483233991809</v>
      </c>
      <c r="O47" s="14">
        <f t="shared" si="14"/>
        <v>0.4921415557627446</v>
      </c>
      <c r="P47" s="11">
        <f t="shared" si="15"/>
        <v>-0.14591912353984249</v>
      </c>
      <c r="S47" s="26">
        <f t="shared" si="30"/>
        <v>0.51</v>
      </c>
      <c r="T47" s="18">
        <f>INDEX(Inputs!R$4:R$81,Model!$C47)</f>
        <v>0.63561797129792375</v>
      </c>
      <c r="U47" s="10">
        <f>INDEX(Inputs!O$4:O$81,Model!$C47)</f>
        <v>50010389</v>
      </c>
      <c r="V47" s="14">
        <f>INDEX(Inputs!P$4:P$81,Model!$C47)</f>
        <v>31787502</v>
      </c>
      <c r="W47" s="11">
        <f>INDEX(Inputs!Q$4:Q$81,Model!$C47)</f>
        <v>18222887</v>
      </c>
      <c r="X47" s="10">
        <f t="shared" si="31"/>
        <v>25505298.390000001</v>
      </c>
      <c r="Y47" s="14">
        <f t="shared" si="32"/>
        <v>24505090.609999999</v>
      </c>
      <c r="Z47" s="14">
        <f t="shared" si="33"/>
        <v>-6282203.6099999994</v>
      </c>
      <c r="AA47" s="11">
        <f t="shared" si="34"/>
        <v>6282203.6099999994</v>
      </c>
      <c r="AB47" s="33">
        <f t="shared" si="16"/>
        <v>-0.19763124544986263</v>
      </c>
      <c r="AC47" s="34">
        <f t="shared" si="17"/>
        <v>0.34474249936357504</v>
      </c>
      <c r="AD47" s="26">
        <f t="shared" si="18"/>
        <v>0.78947029600923169</v>
      </c>
      <c r="AE47" s="18">
        <f t="shared" si="19"/>
        <v>0.78947029600923169</v>
      </c>
      <c r="AF47" s="10" t="str">
        <f t="shared" si="35"/>
        <v>Invercargill City</v>
      </c>
      <c r="AG47" s="42">
        <f t="shared" si="20"/>
        <v>0.64</v>
      </c>
      <c r="AH47" s="18">
        <f t="shared" si="21"/>
        <v>0.51</v>
      </c>
      <c r="AI47" s="1"/>
      <c r="AJ47" s="1">
        <f>MIN(V25,X25)</f>
        <v>10828796</v>
      </c>
      <c r="AK47" s="1">
        <f>X25-AJ47</f>
        <v>881996.66792966984</v>
      </c>
      <c r="AL47" s="1">
        <f>V25-AJ47</f>
        <v>0</v>
      </c>
      <c r="AM47" s="1"/>
      <c r="AN47" s="1"/>
      <c r="AO47" s="1"/>
    </row>
    <row r="48" spans="1:41" x14ac:dyDescent="0.25">
      <c r="A48" s="94">
        <f t="shared" si="22"/>
        <v>46</v>
      </c>
      <c r="B48" s="95">
        <v>86</v>
      </c>
      <c r="C48">
        <f>MATCH(B48,Inputs!$A$4:$A$81,0)</f>
        <v>71</v>
      </c>
      <c r="D48" t="str">
        <f>INDEX(Inputs!$A$4:$S$81,Model!$C48,D$90)</f>
        <v>Hawkes Bay Regional</v>
      </c>
      <c r="E48">
        <f>INDEX(Inputs!$A$4:$S$81,Model!$C48,E$90)</f>
        <v>78527</v>
      </c>
      <c r="F48">
        <f>INDEX(Inputs!$A$4:$S$81,Model!$C48,F$90)</f>
        <v>1019.1199727209054</v>
      </c>
      <c r="G48">
        <f>INDEX(Inputs!$A$4:$S$81,Model!$C48,G$90)</f>
        <v>1.1995036035043589E-7</v>
      </c>
      <c r="H48" s="10">
        <f t="shared" si="23"/>
        <v>0.49789290809046804</v>
      </c>
      <c r="I48" s="14">
        <f t="shared" si="24"/>
        <v>0.39765838001402187</v>
      </c>
      <c r="J48" s="14">
        <f t="shared" si="25"/>
        <v>-0.30335355328949842</v>
      </c>
      <c r="K48" s="10">
        <f t="shared" si="26"/>
        <v>6.0179874524930694</v>
      </c>
      <c r="L48" s="14">
        <f t="shared" si="27"/>
        <v>2.3652038323015212</v>
      </c>
      <c r="M48" s="14">
        <f t="shared" si="28"/>
        <v>0.58344305322724566</v>
      </c>
      <c r="N48" s="14">
        <f t="shared" si="29"/>
        <v>8.9666343380218372</v>
      </c>
      <c r="O48" s="14">
        <f t="shared" si="14"/>
        <v>0.49030898412767226</v>
      </c>
      <c r="P48" s="11">
        <f t="shared" si="15"/>
        <v>-0.17243310891718622</v>
      </c>
      <c r="S48" s="26">
        <f t="shared" si="30"/>
        <v>0.51</v>
      </c>
      <c r="T48" s="18">
        <f>INDEX(Inputs!R$4:R$81,Model!$C48)</f>
        <v>0.5758330753385571</v>
      </c>
      <c r="U48" s="10">
        <f>INDEX(Inputs!O$4:O$81,Model!$C48)</f>
        <v>15268397</v>
      </c>
      <c r="V48" s="14">
        <f>INDEX(Inputs!P$4:P$81,Model!$C48)</f>
        <v>8792048</v>
      </c>
      <c r="W48" s="11">
        <f>INDEX(Inputs!Q$4:Q$81,Model!$C48)</f>
        <v>6476349</v>
      </c>
      <c r="X48" s="10">
        <f t="shared" si="31"/>
        <v>7786882.4699999997</v>
      </c>
      <c r="Y48" s="14">
        <f t="shared" si="32"/>
        <v>7481514.5300000003</v>
      </c>
      <c r="Z48" s="14">
        <f t="shared" si="33"/>
        <v>-1005165.5300000003</v>
      </c>
      <c r="AA48" s="11">
        <f t="shared" si="34"/>
        <v>1005165.5300000003</v>
      </c>
      <c r="AB48" s="33">
        <f t="shared" si="16"/>
        <v>-0.1143266654140196</v>
      </c>
      <c r="AC48" s="34">
        <f t="shared" si="17"/>
        <v>0.15520558419566338</v>
      </c>
      <c r="AD48" s="26">
        <f t="shared" si="18"/>
        <v>0.12631687506024283</v>
      </c>
      <c r="AE48" s="18">
        <f t="shared" si="19"/>
        <v>0.12631687506024283</v>
      </c>
      <c r="AF48" s="10" t="str">
        <f t="shared" si="35"/>
        <v>Hawkes Bay Regional</v>
      </c>
      <c r="AG48" s="42">
        <f t="shared" si="20"/>
        <v>0.57999999999999996</v>
      </c>
      <c r="AH48" s="18">
        <f t="shared" si="21"/>
        <v>0.51</v>
      </c>
      <c r="AI48" s="1"/>
      <c r="AJ48" s="1"/>
      <c r="AK48" s="1"/>
      <c r="AL48" s="1"/>
      <c r="AM48" s="1">
        <f>MIN(W25,Y25)</f>
        <v>8532593.3320703302</v>
      </c>
      <c r="AN48" s="1">
        <f>Y25-AM48</f>
        <v>0</v>
      </c>
      <c r="AO48" s="1">
        <f>W25-AM48</f>
        <v>881996.66792966984</v>
      </c>
    </row>
    <row r="49" spans="1:41" x14ac:dyDescent="0.25">
      <c r="A49" s="94">
        <f t="shared" si="22"/>
        <v>47</v>
      </c>
      <c r="B49" s="95">
        <v>57</v>
      </c>
      <c r="C49">
        <f>MATCH(B49,Inputs!$A$4:$A$81,0)</f>
        <v>50</v>
      </c>
      <c r="D49" t="str">
        <f>INDEX(Inputs!$A$4:$S$81,Model!$C49,D$90)</f>
        <v>Hurunui District</v>
      </c>
      <c r="E49">
        <f>INDEX(Inputs!$A$4:$S$81,Model!$C49,E$90)</f>
        <v>8003</v>
      </c>
      <c r="F49">
        <f>INDEX(Inputs!$A$4:$S$81,Model!$C49,F$90)</f>
        <v>950.8275493860117</v>
      </c>
      <c r="G49">
        <f>INDEX(Inputs!$A$4:$S$81,Model!$C49,G$90)</f>
        <v>2.3964603988909616E-7</v>
      </c>
      <c r="H49" s="10">
        <f t="shared" si="23"/>
        <v>-0.45461238753792499</v>
      </c>
      <c r="I49" s="14">
        <f t="shared" si="24"/>
        <v>-1.2331364526906328</v>
      </c>
      <c r="J49" s="14">
        <f t="shared" si="25"/>
        <v>0.35465301437018748</v>
      </c>
      <c r="K49" s="10">
        <f t="shared" si="26"/>
        <v>6.9704927481214627</v>
      </c>
      <c r="L49" s="14">
        <f t="shared" si="27"/>
        <v>0.73440899959686678</v>
      </c>
      <c r="M49" s="14">
        <f t="shared" si="28"/>
        <v>1.2414496208869314</v>
      </c>
      <c r="N49" s="14">
        <f t="shared" si="29"/>
        <v>8.94635136860526</v>
      </c>
      <c r="O49" s="14">
        <f t="shared" si="14"/>
        <v>0.48890708268211963</v>
      </c>
      <c r="P49" s="11">
        <f t="shared" si="15"/>
        <v>-0.19271607833376336</v>
      </c>
      <c r="S49" s="26">
        <f t="shared" si="30"/>
        <v>0.51</v>
      </c>
      <c r="T49" s="18">
        <f>INDEX(Inputs!R$4:R$81,Model!$C49)</f>
        <v>0.52490692315209753</v>
      </c>
      <c r="U49" s="10">
        <f>INDEX(Inputs!O$4:O$81,Model!$C49)</f>
        <v>25376880</v>
      </c>
      <c r="V49" s="14">
        <f>INDEX(Inputs!P$4:P$81,Model!$C49)</f>
        <v>13320500</v>
      </c>
      <c r="W49" s="11">
        <f>INDEX(Inputs!Q$4:Q$81,Model!$C49)</f>
        <v>12056380</v>
      </c>
      <c r="X49" s="10">
        <f t="shared" si="31"/>
        <v>12942208.800000001</v>
      </c>
      <c r="Y49" s="14">
        <f t="shared" si="32"/>
        <v>12434671.199999999</v>
      </c>
      <c r="Z49" s="14">
        <f t="shared" si="33"/>
        <v>-378291.19999999925</v>
      </c>
      <c r="AA49" s="11">
        <f t="shared" si="34"/>
        <v>378291.19999999925</v>
      </c>
      <c r="AB49" s="33">
        <f t="shared" si="16"/>
        <v>-2.8399174205172423E-2</v>
      </c>
      <c r="AC49" s="34">
        <f t="shared" si="17"/>
        <v>3.1376847776861651E-2</v>
      </c>
      <c r="AD49" s="26">
        <f t="shared" si="18"/>
        <v>4.7538998125800466E-2</v>
      </c>
      <c r="AE49" s="18">
        <f t="shared" si="19"/>
        <v>4.7538998125800466E-2</v>
      </c>
      <c r="AF49" s="10" t="str">
        <f t="shared" si="35"/>
        <v>Hurunui District</v>
      </c>
      <c r="AG49" s="42">
        <f t="shared" si="20"/>
        <v>0.52</v>
      </c>
      <c r="AH49" s="18">
        <f t="shared" si="21"/>
        <v>0.51</v>
      </c>
      <c r="AI49" s="1"/>
      <c r="AJ49" s="1">
        <f>MIN(V26,X26)</f>
        <v>8294665.7967971638</v>
      </c>
      <c r="AK49" s="1">
        <f>X26-AJ49</f>
        <v>0</v>
      </c>
      <c r="AL49" s="1">
        <f>V26-AJ49</f>
        <v>1127795.2032028362</v>
      </c>
      <c r="AM49" s="1"/>
      <c r="AN49" s="1"/>
      <c r="AO49" s="1"/>
    </row>
    <row r="50" spans="1:41" x14ac:dyDescent="0.25">
      <c r="A50" s="94">
        <f t="shared" si="22"/>
        <v>48</v>
      </c>
      <c r="B50" s="95">
        <v>13</v>
      </c>
      <c r="C50">
        <f>MATCH(B50,Inputs!$A$4:$A$81,0)</f>
        <v>7</v>
      </c>
      <c r="D50" t="str">
        <f>INDEX(Inputs!$A$4:$S$81,Model!$C50,D$90)</f>
        <v>Matamata-Piako District</v>
      </c>
      <c r="E50">
        <f>INDEX(Inputs!$A$4:$S$81,Model!$C50,E$90)</f>
        <v>14443</v>
      </c>
      <c r="F50">
        <f>INDEX(Inputs!$A$4:$S$81,Model!$C50,F$90)</f>
        <v>986.98681148176877</v>
      </c>
      <c r="G50">
        <f>INDEX(Inputs!$A$4:$S$81,Model!$C50,G$90)</f>
        <v>9.4255551149305895E-8</v>
      </c>
      <c r="H50" s="10">
        <f t="shared" si="23"/>
        <v>-0.36763300316031094</v>
      </c>
      <c r="I50" s="14">
        <f t="shared" si="24"/>
        <v>-0.36966822443632308</v>
      </c>
      <c r="J50" s="14">
        <f t="shared" si="25"/>
        <v>-0.44460638107970446</v>
      </c>
      <c r="K50" s="10">
        <f t="shared" si="26"/>
        <v>6.8835133637438481</v>
      </c>
      <c r="L50" s="14">
        <f t="shared" si="27"/>
        <v>1.5978772278511766</v>
      </c>
      <c r="M50" s="14">
        <f t="shared" si="28"/>
        <v>0.44219022543703962</v>
      </c>
      <c r="N50" s="14">
        <f t="shared" si="29"/>
        <v>8.9235808170320645</v>
      </c>
      <c r="O50" s="14">
        <f t="shared" si="14"/>
        <v>0.48733324659772448</v>
      </c>
      <c r="P50" s="11">
        <f t="shared" si="15"/>
        <v>-0.21548662990695888</v>
      </c>
      <c r="S50" s="26">
        <f t="shared" si="30"/>
        <v>0.51</v>
      </c>
      <c r="T50" s="18">
        <f>INDEX(Inputs!R$4:R$81,Model!$C50)</f>
        <v>0.48813244200200578</v>
      </c>
      <c r="U50" s="10">
        <f>INDEX(Inputs!O$4:O$81,Model!$C50)</f>
        <v>42375862</v>
      </c>
      <c r="V50" s="14">
        <f>INDEX(Inputs!P$4:P$81,Model!$C50)</f>
        <v>20685033</v>
      </c>
      <c r="W50" s="11">
        <f>INDEX(Inputs!Q$4:Q$81,Model!$C50)</f>
        <v>21690829</v>
      </c>
      <c r="X50" s="10">
        <f t="shared" si="31"/>
        <v>21611689.620000001</v>
      </c>
      <c r="Y50" s="14">
        <f t="shared" si="32"/>
        <v>20764172.379999999</v>
      </c>
      <c r="Z50" s="14">
        <f t="shared" si="33"/>
        <v>926656.62000000104</v>
      </c>
      <c r="AA50" s="11">
        <f t="shared" si="34"/>
        <v>-926656.62000000104</v>
      </c>
      <c r="AB50" s="33">
        <f t="shared" si="16"/>
        <v>4.4798411489118777E-2</v>
      </c>
      <c r="AC50" s="34">
        <f t="shared" si="17"/>
        <v>-4.2721125135420181E-2</v>
      </c>
      <c r="AD50" s="26">
        <f t="shared" si="18"/>
        <v>-0.11645083819407041</v>
      </c>
      <c r="AE50" s="18">
        <f t="shared" si="19"/>
        <v>-0.11645083819407041</v>
      </c>
      <c r="AF50" s="10" t="str">
        <f t="shared" si="35"/>
        <v>Matamata-Piako District</v>
      </c>
      <c r="AG50" s="42">
        <f t="shared" si="20"/>
        <v>0.49</v>
      </c>
      <c r="AH50" s="18">
        <f t="shared" si="21"/>
        <v>0.51</v>
      </c>
      <c r="AI50" s="1"/>
      <c r="AJ50" s="1"/>
      <c r="AK50" s="1"/>
      <c r="AL50" s="1"/>
      <c r="AM50" s="1">
        <f>MIN(W26,Y26)</f>
        <v>4958407</v>
      </c>
      <c r="AN50" s="1">
        <f>Y26-AM50</f>
        <v>1127795.2032028362</v>
      </c>
      <c r="AO50" s="1">
        <f>W26-AM50</f>
        <v>0</v>
      </c>
    </row>
    <row r="51" spans="1:41" x14ac:dyDescent="0.25">
      <c r="A51" s="94">
        <f t="shared" si="22"/>
        <v>49</v>
      </c>
      <c r="B51" s="95">
        <v>66</v>
      </c>
      <c r="C51">
        <f>MATCH(B51,Inputs!$A$4:$A$81,0)</f>
        <v>59</v>
      </c>
      <c r="D51" t="str">
        <f>INDEX(Inputs!$A$4:$S$81,Model!$C51,D$90)</f>
        <v>Central Otago District</v>
      </c>
      <c r="E51">
        <f>INDEX(Inputs!$A$4:$S$81,Model!$C51,E$90)</f>
        <v>13453</v>
      </c>
      <c r="F51">
        <f>INDEX(Inputs!$A$4:$S$81,Model!$C51,F$90)</f>
        <v>947.3458356315499</v>
      </c>
      <c r="G51">
        <f>INDEX(Inputs!$A$4:$S$81,Model!$C51,G$90)</f>
        <v>2.6145991107282652E-7</v>
      </c>
      <c r="H51" s="10">
        <f t="shared" si="23"/>
        <v>-0.38100405759103112</v>
      </c>
      <c r="I51" s="14">
        <f t="shared" si="24"/>
        <v>-1.3162783375801077</v>
      </c>
      <c r="J51" s="14">
        <f t="shared" si="25"/>
        <v>0.47457104783889659</v>
      </c>
      <c r="K51" s="10">
        <f t="shared" si="26"/>
        <v>6.8968844181745688</v>
      </c>
      <c r="L51" s="14">
        <f t="shared" si="27"/>
        <v>0.65126711470739185</v>
      </c>
      <c r="M51" s="14">
        <f t="shared" si="28"/>
        <v>1.3613676543556408</v>
      </c>
      <c r="N51" s="14">
        <f t="shared" si="29"/>
        <v>8.9095191872376009</v>
      </c>
      <c r="O51" s="14">
        <f t="shared" si="14"/>
        <v>0.4863613465405478</v>
      </c>
      <c r="P51" s="11">
        <f t="shared" si="15"/>
        <v>-0.22954825970142245</v>
      </c>
      <c r="S51" s="26">
        <f t="shared" si="30"/>
        <v>0.51</v>
      </c>
      <c r="T51" s="18">
        <f>INDEX(Inputs!R$4:R$81,Model!$C51)</f>
        <v>0.51976722978355328</v>
      </c>
      <c r="U51" s="10">
        <f>INDEX(Inputs!O$4:O$81,Model!$C51)</f>
        <v>24969002</v>
      </c>
      <c r="V51" s="14">
        <f>INDEX(Inputs!P$4:P$81,Model!$C51)</f>
        <v>12978069</v>
      </c>
      <c r="W51" s="11">
        <f>INDEX(Inputs!Q$4:Q$81,Model!$C51)</f>
        <v>11990933</v>
      </c>
      <c r="X51" s="10">
        <f t="shared" si="31"/>
        <v>12734191.02</v>
      </c>
      <c r="Y51" s="14">
        <f t="shared" si="32"/>
        <v>12234810.98</v>
      </c>
      <c r="Z51" s="14">
        <f t="shared" si="33"/>
        <v>-243877.98000000045</v>
      </c>
      <c r="AA51" s="11">
        <f t="shared" si="34"/>
        <v>243877.98000000045</v>
      </c>
      <c r="AB51" s="33">
        <f t="shared" si="16"/>
        <v>-1.879154595340805E-2</v>
      </c>
      <c r="AC51" s="34">
        <f t="shared" si="17"/>
        <v>2.0338532456148362E-2</v>
      </c>
      <c r="AD51" s="26">
        <f t="shared" si="18"/>
        <v>3.0647593267155163E-2</v>
      </c>
      <c r="AE51" s="18">
        <f t="shared" si="19"/>
        <v>3.0647593267155163E-2</v>
      </c>
      <c r="AF51" s="10" t="str">
        <f t="shared" si="35"/>
        <v>Central Otago District</v>
      </c>
      <c r="AG51" s="42">
        <f t="shared" si="20"/>
        <v>0.52</v>
      </c>
      <c r="AH51" s="18">
        <f t="shared" si="21"/>
        <v>0.51</v>
      </c>
      <c r="AI51" s="1"/>
      <c r="AJ51" s="1">
        <f>MIN(V27,X27)</f>
        <v>11694021.796965102</v>
      </c>
      <c r="AK51" s="1">
        <f>X27-AJ51</f>
        <v>0</v>
      </c>
      <c r="AL51" s="1">
        <f>V27-AJ51</f>
        <v>1327708.2030348983</v>
      </c>
      <c r="AM51" s="1"/>
      <c r="AN51" s="1"/>
      <c r="AO51" s="1"/>
    </row>
    <row r="52" spans="1:41" x14ac:dyDescent="0.25">
      <c r="A52" s="94">
        <f t="shared" si="22"/>
        <v>50</v>
      </c>
      <c r="B52" s="95">
        <v>60</v>
      </c>
      <c r="C52">
        <f>MATCH(B52,Inputs!$A$4:$A$81,0)</f>
        <v>53</v>
      </c>
      <c r="D52" t="str">
        <f>INDEX(Inputs!$A$4:$S$81,Model!$C52,D$90)</f>
        <v>Timaru District</v>
      </c>
      <c r="E52">
        <f>INDEX(Inputs!$A$4:$S$81,Model!$C52,E$90)</f>
        <v>21765</v>
      </c>
      <c r="F52">
        <f>INDEX(Inputs!$A$4:$S$81,Model!$C52,F$90)</f>
        <v>975.74330466400954</v>
      </c>
      <c r="G52">
        <f>INDEX(Inputs!$A$4:$S$81,Model!$C52,G$90)</f>
        <v>1.5757223653803894E-7</v>
      </c>
      <c r="H52" s="10">
        <f t="shared" si="23"/>
        <v>-0.26874122483532809</v>
      </c>
      <c r="I52" s="14">
        <f t="shared" si="24"/>
        <v>-0.6381585184469134</v>
      </c>
      <c r="J52" s="14">
        <f t="shared" si="25"/>
        <v>-9.6533710547165877E-2</v>
      </c>
      <c r="K52" s="10">
        <f t="shared" si="26"/>
        <v>6.7846215854188658</v>
      </c>
      <c r="L52" s="14">
        <f t="shared" si="27"/>
        <v>1.3293869338405861</v>
      </c>
      <c r="M52" s="14">
        <f t="shared" si="28"/>
        <v>0.79026289596957822</v>
      </c>
      <c r="N52" s="14">
        <f t="shared" si="29"/>
        <v>8.9042714152290294</v>
      </c>
      <c r="O52" s="14">
        <f t="shared" si="14"/>
        <v>0.48599863539043708</v>
      </c>
      <c r="P52" s="11">
        <f t="shared" si="15"/>
        <v>-0.23479603170999397</v>
      </c>
      <c r="S52" s="26">
        <f t="shared" si="30"/>
        <v>0.51</v>
      </c>
      <c r="T52" s="18">
        <f>INDEX(Inputs!R$4:R$81,Model!$C52)</f>
        <v>0.53736688214239636</v>
      </c>
      <c r="U52" s="10">
        <f>INDEX(Inputs!O$4:O$81,Model!$C52)</f>
        <v>45631744</v>
      </c>
      <c r="V52" s="14">
        <f>INDEX(Inputs!P$4:P$81,Model!$C52)</f>
        <v>24520988</v>
      </c>
      <c r="W52" s="11">
        <f>INDEX(Inputs!Q$4:Q$81,Model!$C52)</f>
        <v>21110756</v>
      </c>
      <c r="X52" s="10">
        <f t="shared" si="31"/>
        <v>23272189.440000001</v>
      </c>
      <c r="Y52" s="14">
        <f t="shared" si="32"/>
        <v>22359554.559999999</v>
      </c>
      <c r="Z52" s="14">
        <f t="shared" si="33"/>
        <v>-1248798.5599999987</v>
      </c>
      <c r="AA52" s="11">
        <f t="shared" si="34"/>
        <v>1248798.5599999987</v>
      </c>
      <c r="AB52" s="33">
        <f t="shared" si="16"/>
        <v>-5.0927742389499098E-2</v>
      </c>
      <c r="AC52" s="34">
        <f t="shared" si="17"/>
        <v>5.915461104282569E-2</v>
      </c>
      <c r="AD52" s="26">
        <f t="shared" si="18"/>
        <v>0.15693368601580573</v>
      </c>
      <c r="AE52" s="18">
        <f t="shared" si="19"/>
        <v>0.15693368601580573</v>
      </c>
      <c r="AF52" s="10" t="str">
        <f t="shared" si="35"/>
        <v>Timaru District</v>
      </c>
      <c r="AG52" s="42">
        <f t="shared" si="20"/>
        <v>0.54</v>
      </c>
      <c r="AH52" s="18">
        <f t="shared" si="21"/>
        <v>0.51</v>
      </c>
      <c r="AI52" s="1"/>
      <c r="AJ52" s="1"/>
      <c r="AK52" s="1"/>
      <c r="AL52" s="1"/>
      <c r="AM52" s="1">
        <f>MIN(W27,Y27)</f>
        <v>7480705</v>
      </c>
      <c r="AN52" s="1">
        <f>Y27-AM52</f>
        <v>1327708.2030348983</v>
      </c>
      <c r="AO52" s="1">
        <f>W27-AM52</f>
        <v>0</v>
      </c>
    </row>
    <row r="53" spans="1:41" x14ac:dyDescent="0.25">
      <c r="A53" s="94">
        <f t="shared" si="22"/>
        <v>51</v>
      </c>
      <c r="B53" s="95">
        <v>87</v>
      </c>
      <c r="C53">
        <f>MATCH(B53,Inputs!$A$4:$A$81,0)</f>
        <v>72</v>
      </c>
      <c r="D53" t="str">
        <f>INDEX(Inputs!$A$4:$S$81,Model!$C53,D$90)</f>
        <v>Taranaki Regional</v>
      </c>
      <c r="E53">
        <f>INDEX(Inputs!$A$4:$S$81,Model!$C53,E$90)</f>
        <v>54788</v>
      </c>
      <c r="F53">
        <f>INDEX(Inputs!$A$4:$S$81,Model!$C53,F$90)</f>
        <v>999.61803690548379</v>
      </c>
      <c r="G53">
        <f>INDEX(Inputs!$A$4:$S$81,Model!$C53,G$90)</f>
        <v>1.2452979437858546E-7</v>
      </c>
      <c r="H53" s="10">
        <f t="shared" si="23"/>
        <v>0.17727123018050231</v>
      </c>
      <c r="I53" s="14">
        <f t="shared" si="24"/>
        <v>-6.8039783888699426E-2</v>
      </c>
      <c r="J53" s="14">
        <f t="shared" si="25"/>
        <v>-0.27817889637372056</v>
      </c>
      <c r="K53" s="10">
        <f t="shared" si="26"/>
        <v>6.338609130403035</v>
      </c>
      <c r="L53" s="14">
        <f t="shared" si="27"/>
        <v>1.8995056683988001</v>
      </c>
      <c r="M53" s="14">
        <f t="shared" si="28"/>
        <v>0.60861771014302346</v>
      </c>
      <c r="N53" s="14">
        <f t="shared" si="29"/>
        <v>8.846732508944859</v>
      </c>
      <c r="O53" s="14">
        <f t="shared" si="14"/>
        <v>0.4820217090223794</v>
      </c>
      <c r="P53" s="11">
        <f t="shared" si="15"/>
        <v>-0.29233493799416443</v>
      </c>
      <c r="S53" s="26">
        <f t="shared" si="30"/>
        <v>0.51</v>
      </c>
      <c r="T53" s="18">
        <f>INDEX(Inputs!R$4:R$81,Model!$C53)</f>
        <v>0.52826815650361958</v>
      </c>
      <c r="U53" s="10">
        <f>INDEX(Inputs!O$4:O$81,Model!$C53)</f>
        <v>8481823</v>
      </c>
      <c r="V53" s="14">
        <f>INDEX(Inputs!P$4:P$81,Model!$C53)</f>
        <v>4480677</v>
      </c>
      <c r="W53" s="11">
        <f>INDEX(Inputs!Q$4:Q$81,Model!$C53)</f>
        <v>4001146</v>
      </c>
      <c r="X53" s="10">
        <f t="shared" si="31"/>
        <v>4325729.7300000004</v>
      </c>
      <c r="Y53" s="14">
        <f t="shared" si="32"/>
        <v>4156093.2699999996</v>
      </c>
      <c r="Z53" s="14">
        <f t="shared" si="33"/>
        <v>-154947.26999999955</v>
      </c>
      <c r="AA53" s="11">
        <f t="shared" si="34"/>
        <v>154947.26999999955</v>
      </c>
      <c r="AB53" s="33">
        <f t="shared" si="16"/>
        <v>-3.4581218418555847E-2</v>
      </c>
      <c r="AC53" s="34">
        <f t="shared" si="17"/>
        <v>3.8725722580480577E-2</v>
      </c>
      <c r="AD53" s="26">
        <f t="shared" si="18"/>
        <v>1.9471872404454273E-2</v>
      </c>
      <c r="AE53" s="18">
        <f t="shared" si="19"/>
        <v>1.9471872404454273E-2</v>
      </c>
      <c r="AF53" s="10" t="str">
        <f t="shared" si="35"/>
        <v>Taranaki Regional</v>
      </c>
      <c r="AG53" s="42">
        <f t="shared" si="20"/>
        <v>0.53</v>
      </c>
      <c r="AH53" s="18">
        <f t="shared" si="21"/>
        <v>0.51</v>
      </c>
      <c r="AI53" s="1"/>
      <c r="AJ53" s="1">
        <f>MIN(V28,X28)</f>
        <v>14799705</v>
      </c>
      <c r="AK53" s="1">
        <f>X28-AJ53</f>
        <v>244492.23838001117</v>
      </c>
      <c r="AL53" s="1">
        <f>V28-AJ53</f>
        <v>0</v>
      </c>
      <c r="AM53" s="1"/>
      <c r="AN53" s="1"/>
      <c r="AO53" s="1"/>
    </row>
    <row r="54" spans="1:41" x14ac:dyDescent="0.25">
      <c r="A54" s="94">
        <f t="shared" si="22"/>
        <v>52</v>
      </c>
      <c r="B54" s="95">
        <v>94</v>
      </c>
      <c r="C54">
        <f>MATCH(B54,Inputs!$A$4:$A$81,0)</f>
        <v>78</v>
      </c>
      <c r="D54" t="str">
        <f>INDEX(Inputs!$A$4:$S$81,Model!$C54,D$90)</f>
        <v>Southland Regional</v>
      </c>
      <c r="E54">
        <f>INDEX(Inputs!$A$4:$S$81,Model!$C54,E$90)</f>
        <v>52967</v>
      </c>
      <c r="F54">
        <f>INDEX(Inputs!$A$4:$S$81,Model!$C54,F$90)</f>
        <v>977.01255409825228</v>
      </c>
      <c r="G54">
        <f>INDEX(Inputs!$A$4:$S$81,Model!$C54,G$90)</f>
        <v>2.1050180293262934E-7</v>
      </c>
      <c r="H54" s="10">
        <f t="shared" si="23"/>
        <v>0.15267659369732917</v>
      </c>
      <c r="I54" s="14">
        <f t="shared" si="24"/>
        <v>-0.60784936674752188</v>
      </c>
      <c r="J54" s="14">
        <f t="shared" si="25"/>
        <v>0.1944375462705947</v>
      </c>
      <c r="K54" s="10">
        <f t="shared" si="26"/>
        <v>6.3632037668862083</v>
      </c>
      <c r="L54" s="14">
        <f t="shared" si="27"/>
        <v>1.3596960855399778</v>
      </c>
      <c r="M54" s="14">
        <f t="shared" si="28"/>
        <v>1.0812341527873388</v>
      </c>
      <c r="N54" s="14">
        <f t="shared" si="29"/>
        <v>8.8041340052135251</v>
      </c>
      <c r="O54" s="14">
        <f t="shared" si="14"/>
        <v>0.47907742099764239</v>
      </c>
      <c r="P54" s="11">
        <f t="shared" si="15"/>
        <v>-0.33493344172549833</v>
      </c>
      <c r="S54" s="26">
        <f t="shared" si="30"/>
        <v>0.51</v>
      </c>
      <c r="T54" s="18">
        <f>INDEX(Inputs!R$4:R$81,Model!$C54)</f>
        <v>0.82163403392933021</v>
      </c>
      <c r="U54" s="10">
        <f>INDEX(Inputs!O$4:O$81,Model!$C54)</f>
        <v>611860</v>
      </c>
      <c r="V54" s="14">
        <f>INDEX(Inputs!P$4:P$81,Model!$C54)</f>
        <v>502725</v>
      </c>
      <c r="W54" s="11">
        <f>INDEX(Inputs!Q$4:Q$81,Model!$C54)</f>
        <v>109135</v>
      </c>
      <c r="X54" s="10">
        <f t="shared" si="31"/>
        <v>312048.59999999998</v>
      </c>
      <c r="Y54" s="14">
        <f t="shared" si="32"/>
        <v>299811.40000000002</v>
      </c>
      <c r="Z54" s="14">
        <f t="shared" si="33"/>
        <v>-190676.40000000002</v>
      </c>
      <c r="AA54" s="11">
        <f t="shared" si="34"/>
        <v>190676.40000000002</v>
      </c>
      <c r="AB54" s="33">
        <f t="shared" si="16"/>
        <v>-0.37928569297329556</v>
      </c>
      <c r="AC54" s="34">
        <f t="shared" si="17"/>
        <v>1.7471608558207727</v>
      </c>
      <c r="AD54" s="26">
        <f t="shared" si="18"/>
        <v>2.3961871231036828E-2</v>
      </c>
      <c r="AE54" s="18">
        <f t="shared" si="19"/>
        <v>2.3961871231036828E-2</v>
      </c>
      <c r="AF54" s="10" t="str">
        <f t="shared" si="35"/>
        <v>Southland Regional</v>
      </c>
      <c r="AG54" s="42">
        <f t="shared" si="20"/>
        <v>0.82</v>
      </c>
      <c r="AH54" s="18">
        <f t="shared" si="21"/>
        <v>0.51</v>
      </c>
      <c r="AI54" s="1"/>
      <c r="AJ54" s="1"/>
      <c r="AK54" s="1"/>
      <c r="AL54" s="1"/>
      <c r="AM54" s="1">
        <f>MIN(W28,Y28)</f>
        <v>11338695.761619989</v>
      </c>
      <c r="AN54" s="1">
        <f>Y28-AM54</f>
        <v>0</v>
      </c>
      <c r="AO54" s="1">
        <f>W28-AM54</f>
        <v>244492.23838001117</v>
      </c>
    </row>
    <row r="55" spans="1:41" x14ac:dyDescent="0.25">
      <c r="A55" s="94">
        <f t="shared" si="22"/>
        <v>53</v>
      </c>
      <c r="B55" s="95">
        <v>32</v>
      </c>
      <c r="C55">
        <f>MATCH(B55,Inputs!$A$4:$A$81,0)</f>
        <v>26</v>
      </c>
      <c r="D55" t="str">
        <f>INDEX(Inputs!$A$4:$S$81,Model!$C55,D$90)</f>
        <v>New Plymouth District</v>
      </c>
      <c r="E55">
        <f>INDEX(Inputs!$A$4:$S$81,Model!$C55,E$90)</f>
        <v>34945</v>
      </c>
      <c r="F55">
        <f>INDEX(Inputs!$A$4:$S$81,Model!$C55,F$90)</f>
        <v>993.26911636045497</v>
      </c>
      <c r="G55">
        <f>INDEX(Inputs!$A$4:$S$81,Model!$C55,G$90)</f>
        <v>7.5204820933980654E-8</v>
      </c>
      <c r="H55" s="10">
        <f t="shared" si="23"/>
        <v>-9.0730621404124218E-2</v>
      </c>
      <c r="I55" s="14">
        <f t="shared" si="24"/>
        <v>-0.21964938144701601</v>
      </c>
      <c r="J55" s="14">
        <f t="shared" si="25"/>
        <v>-0.54933451870933392</v>
      </c>
      <c r="K55" s="10">
        <f t="shared" si="26"/>
        <v>6.6066109819876617</v>
      </c>
      <c r="L55" s="14">
        <f t="shared" si="27"/>
        <v>1.7478960708404836</v>
      </c>
      <c r="M55" s="14">
        <f t="shared" si="28"/>
        <v>0.33746208780741016</v>
      </c>
      <c r="N55" s="14">
        <f t="shared" si="29"/>
        <v>8.691969140635555</v>
      </c>
      <c r="O55" s="14">
        <f t="shared" si="14"/>
        <v>0.4713249029830191</v>
      </c>
      <c r="P55" s="11">
        <f t="shared" si="15"/>
        <v>-0.44709830630346836</v>
      </c>
      <c r="S55" s="26">
        <f t="shared" si="30"/>
        <v>0.51</v>
      </c>
      <c r="T55" s="18">
        <f>INDEX(Inputs!R$4:R$81,Model!$C55)</f>
        <v>0.53188247579474335</v>
      </c>
      <c r="U55" s="10">
        <f>INDEX(Inputs!O$4:O$81,Model!$C55)</f>
        <v>59562062</v>
      </c>
      <c r="V55" s="14">
        <f>INDEX(Inputs!P$4:P$81,Model!$C55)</f>
        <v>31680017</v>
      </c>
      <c r="W55" s="11">
        <f>INDEX(Inputs!Q$4:Q$81,Model!$C55)</f>
        <v>27882045</v>
      </c>
      <c r="X55" s="10">
        <f t="shared" si="31"/>
        <v>30376651.620000001</v>
      </c>
      <c r="Y55" s="14">
        <f t="shared" si="32"/>
        <v>29185410.379999999</v>
      </c>
      <c r="Z55" s="14">
        <f t="shared" si="33"/>
        <v>-1303365.379999999</v>
      </c>
      <c r="AA55" s="11">
        <f t="shared" si="34"/>
        <v>1303365.379999999</v>
      </c>
      <c r="AB55" s="33">
        <f t="shared" si="16"/>
        <v>-4.1141561887419409E-2</v>
      </c>
      <c r="AC55" s="34">
        <f t="shared" si="17"/>
        <v>4.6745688130120977E-2</v>
      </c>
      <c r="AD55" s="26">
        <f t="shared" si="18"/>
        <v>0.16379097466991907</v>
      </c>
      <c r="AE55" s="18">
        <f t="shared" si="19"/>
        <v>0.16379097466991907</v>
      </c>
      <c r="AF55" s="10" t="str">
        <f t="shared" si="35"/>
        <v>New Plymouth District</v>
      </c>
      <c r="AG55" s="42">
        <f t="shared" si="20"/>
        <v>0.53</v>
      </c>
      <c r="AH55" s="18">
        <f t="shared" si="21"/>
        <v>0.51</v>
      </c>
      <c r="AI55" s="1"/>
      <c r="AJ55" s="1">
        <f>MIN(V29,X29)</f>
        <v>9238751</v>
      </c>
      <c r="AK55" s="1">
        <f>X29-AJ55</f>
        <v>437896.82700031251</v>
      </c>
      <c r="AL55" s="1">
        <f>V29-AJ55</f>
        <v>0</v>
      </c>
      <c r="AM55" s="1"/>
      <c r="AN55" s="1"/>
      <c r="AO55" s="1"/>
    </row>
    <row r="56" spans="1:41" x14ac:dyDescent="0.25">
      <c r="A56" s="94">
        <f t="shared" si="22"/>
        <v>54</v>
      </c>
      <c r="B56" s="95">
        <v>44</v>
      </c>
      <c r="C56">
        <f>MATCH(B56,Inputs!$A$4:$A$81,0)</f>
        <v>38</v>
      </c>
      <c r="D56" t="str">
        <f>INDEX(Inputs!$A$4:$S$81,Model!$C56,D$90)</f>
        <v>Lower Hutt City</v>
      </c>
      <c r="E56">
        <f>INDEX(Inputs!$A$4:$S$81,Model!$C56,E$90)</f>
        <v>39384</v>
      </c>
      <c r="F56">
        <f>INDEX(Inputs!$A$4:$S$81,Model!$C56,F$90)</f>
        <v>1006.538717120443</v>
      </c>
      <c r="G56">
        <f>INDEX(Inputs!$A$4:$S$81,Model!$C56,G$90)</f>
        <v>2.7563929078159706E-8</v>
      </c>
      <c r="H56" s="10">
        <f t="shared" si="23"/>
        <v>-3.0776974315268844E-2</v>
      </c>
      <c r="I56" s="14">
        <f t="shared" si="24"/>
        <v>9.7223198184895374E-2</v>
      </c>
      <c r="J56" s="14">
        <f t="shared" si="25"/>
        <v>-0.81123218996295665</v>
      </c>
      <c r="K56" s="10">
        <f t="shared" si="26"/>
        <v>6.5466573348988062</v>
      </c>
      <c r="L56" s="14">
        <f t="shared" si="27"/>
        <v>2.064768650472395</v>
      </c>
      <c r="M56" s="14">
        <f t="shared" si="28"/>
        <v>7.5564416553787428E-2</v>
      </c>
      <c r="N56" s="14">
        <f t="shared" si="29"/>
        <v>8.6869904019249891</v>
      </c>
      <c r="O56" s="14">
        <f t="shared" si="14"/>
        <v>0.470980786653106</v>
      </c>
      <c r="P56" s="11">
        <f t="shared" si="15"/>
        <v>-0.45207704501403434</v>
      </c>
      <c r="S56" s="26">
        <f t="shared" si="30"/>
        <v>0.51</v>
      </c>
      <c r="T56" s="18">
        <f>INDEX(Inputs!R$4:R$81,Model!$C56)</f>
        <v>0.48677993525739682</v>
      </c>
      <c r="U56" s="10">
        <f>INDEX(Inputs!O$4:O$81,Model!$C56)</f>
        <v>56731114</v>
      </c>
      <c r="V56" s="14">
        <f>INDEX(Inputs!P$4:P$81,Model!$C56)</f>
        <v>27615568</v>
      </c>
      <c r="W56" s="11">
        <f>INDEX(Inputs!Q$4:Q$81,Model!$C56)</f>
        <v>29115546</v>
      </c>
      <c r="X56" s="10">
        <f t="shared" si="31"/>
        <v>28932868.140000001</v>
      </c>
      <c r="Y56" s="14">
        <f t="shared" si="32"/>
        <v>27798245.859999999</v>
      </c>
      <c r="Z56" s="14">
        <f t="shared" si="33"/>
        <v>1317300.1400000006</v>
      </c>
      <c r="AA56" s="11">
        <f t="shared" si="34"/>
        <v>-1317300.1400000006</v>
      </c>
      <c r="AB56" s="33">
        <f t="shared" si="16"/>
        <v>4.7701359609912806E-2</v>
      </c>
      <c r="AC56" s="34">
        <f t="shared" si="17"/>
        <v>-4.5243875557064966E-2</v>
      </c>
      <c r="AD56" s="26">
        <f t="shared" si="18"/>
        <v>-0.16554212439141286</v>
      </c>
      <c r="AE56" s="18">
        <f t="shared" si="19"/>
        <v>-0.16554212439141286</v>
      </c>
      <c r="AF56" s="10" t="str">
        <f t="shared" si="35"/>
        <v>Lower Hutt City</v>
      </c>
      <c r="AG56" s="42">
        <f t="shared" si="20"/>
        <v>0.49</v>
      </c>
      <c r="AH56" s="18">
        <f t="shared" si="21"/>
        <v>0.51</v>
      </c>
      <c r="AI56" s="1"/>
      <c r="AJ56" s="1"/>
      <c r="AK56" s="1"/>
      <c r="AL56" s="1"/>
      <c r="AM56" s="1">
        <f>MIN(W29,Y29)</f>
        <v>7403106.1729996875</v>
      </c>
      <c r="AN56" s="1">
        <f>Y29-AM56</f>
        <v>0</v>
      </c>
      <c r="AO56" s="1">
        <f>W29-AM56</f>
        <v>437896.82700031251</v>
      </c>
    </row>
    <row r="57" spans="1:41" x14ac:dyDescent="0.25">
      <c r="A57" s="94">
        <f t="shared" si="22"/>
        <v>55</v>
      </c>
      <c r="B57" s="95">
        <v>37</v>
      </c>
      <c r="C57">
        <f>MATCH(B57,Inputs!$A$4:$A$81,0)</f>
        <v>31</v>
      </c>
      <c r="D57" t="str">
        <f>INDEX(Inputs!$A$4:$S$81,Model!$C57,D$90)</f>
        <v>Palmerston North City</v>
      </c>
      <c r="E57">
        <f>INDEX(Inputs!$A$4:$S$81,Model!$C57,E$90)</f>
        <v>31907</v>
      </c>
      <c r="F57">
        <f>INDEX(Inputs!$A$4:$S$81,Model!$C57,F$90)</f>
        <v>995.22403864734304</v>
      </c>
      <c r="G57">
        <f>INDEX(Inputs!$A$4:$S$81,Model!$C57,G$90)</f>
        <v>4.5384576570699688E-8</v>
      </c>
      <c r="H57" s="10">
        <f t="shared" si="23"/>
        <v>-0.13176220055617258</v>
      </c>
      <c r="I57" s="14">
        <f t="shared" si="24"/>
        <v>-0.17296664552823821</v>
      </c>
      <c r="J57" s="14">
        <f t="shared" si="25"/>
        <v>-0.71326622214160318</v>
      </c>
      <c r="K57" s="10">
        <f t="shared" si="26"/>
        <v>6.6476425611397101</v>
      </c>
      <c r="L57" s="14">
        <f t="shared" si="27"/>
        <v>1.7945788067592614</v>
      </c>
      <c r="M57" s="14">
        <f t="shared" si="28"/>
        <v>0.1735303843751409</v>
      </c>
      <c r="N57" s="14">
        <f t="shared" si="29"/>
        <v>8.6157517522741127</v>
      </c>
      <c r="O57" s="14">
        <f t="shared" si="14"/>
        <v>0.46605697279362468</v>
      </c>
      <c r="P57" s="11">
        <f t="shared" si="15"/>
        <v>-0.52331569466491068</v>
      </c>
      <c r="S57" s="26">
        <f t="shared" si="30"/>
        <v>0.51</v>
      </c>
      <c r="T57" s="18">
        <f>INDEX(Inputs!R$4:R$81,Model!$C57)</f>
        <v>0.48717989223247149</v>
      </c>
      <c r="U57" s="10">
        <f>INDEX(Inputs!O$4:O$81,Model!$C57)</f>
        <v>34246865</v>
      </c>
      <c r="V57" s="14">
        <f>INDEX(Inputs!P$4:P$81,Model!$C57)</f>
        <v>16684384</v>
      </c>
      <c r="W57" s="11">
        <f>INDEX(Inputs!Q$4:Q$81,Model!$C57)</f>
        <v>17562481</v>
      </c>
      <c r="X57" s="10">
        <f t="shared" si="31"/>
        <v>17465901.149999999</v>
      </c>
      <c r="Y57" s="14">
        <f t="shared" si="32"/>
        <v>16780963.850000001</v>
      </c>
      <c r="Z57" s="14">
        <f t="shared" si="33"/>
        <v>781517.14999999851</v>
      </c>
      <c r="AA57" s="11">
        <f t="shared" si="34"/>
        <v>-781517.14999999851</v>
      </c>
      <c r="AB57" s="33">
        <f t="shared" si="16"/>
        <v>4.6841234893658552E-2</v>
      </c>
      <c r="AC57" s="34">
        <f t="shared" si="17"/>
        <v>-4.4499245294557101E-2</v>
      </c>
      <c r="AD57" s="26">
        <f t="shared" si="18"/>
        <v>-9.8211489797095264E-2</v>
      </c>
      <c r="AE57" s="18">
        <f t="shared" si="19"/>
        <v>-9.8211489797095264E-2</v>
      </c>
      <c r="AF57" s="10" t="str">
        <f t="shared" si="35"/>
        <v>Palmerston North City</v>
      </c>
      <c r="AG57" s="42">
        <f t="shared" si="20"/>
        <v>0.49</v>
      </c>
      <c r="AH57" s="18">
        <f t="shared" si="21"/>
        <v>0.51</v>
      </c>
      <c r="AI57" s="1"/>
      <c r="AJ57" s="1">
        <f>MIN(V30,X30)</f>
        <v>7418641</v>
      </c>
      <c r="AK57" s="1">
        <f>X30-AJ57</f>
        <v>1389367.6782824025</v>
      </c>
      <c r="AL57" s="1">
        <f>V30-AJ57</f>
        <v>0</v>
      </c>
      <c r="AM57" s="1"/>
      <c r="AN57" s="1"/>
      <c r="AO57" s="1"/>
    </row>
    <row r="58" spans="1:41" x14ac:dyDescent="0.25">
      <c r="A58" s="94">
        <f t="shared" si="22"/>
        <v>56</v>
      </c>
      <c r="B58" s="95">
        <v>25</v>
      </c>
      <c r="C58">
        <f>MATCH(B58,Inputs!$A$4:$A$81,0)</f>
        <v>19</v>
      </c>
      <c r="D58" t="str">
        <f>INDEX(Inputs!$A$4:$S$81,Model!$C58,D$90)</f>
        <v>Western Bay of Plenty District</v>
      </c>
      <c r="E58">
        <f>INDEX(Inputs!$A$4:$S$81,Model!$C58,E$90)</f>
        <v>22591</v>
      </c>
      <c r="F58">
        <f>INDEX(Inputs!$A$4:$S$81,Model!$C58,F$90)</f>
        <v>981.604731430215</v>
      </c>
      <c r="G58">
        <f>INDEX(Inputs!$A$4:$S$81,Model!$C58,G$90)</f>
        <v>7.6064801681786447E-8</v>
      </c>
      <c r="H58" s="10">
        <f t="shared" si="23"/>
        <v>-0.257585173360808</v>
      </c>
      <c r="I58" s="14">
        <f t="shared" si="24"/>
        <v>-0.49819007076524219</v>
      </c>
      <c r="J58" s="14">
        <f t="shared" si="25"/>
        <v>-0.54460692133657884</v>
      </c>
      <c r="K58" s="10">
        <f t="shared" si="26"/>
        <v>6.7734655339443455</v>
      </c>
      <c r="L58" s="14">
        <f t="shared" si="27"/>
        <v>1.4693553815222573</v>
      </c>
      <c r="M58" s="14">
        <f t="shared" si="28"/>
        <v>0.34218968518016524</v>
      </c>
      <c r="N58" s="14">
        <f t="shared" si="29"/>
        <v>8.5850106006467666</v>
      </c>
      <c r="O58" s="14">
        <f t="shared" si="14"/>
        <v>0.46393223139017387</v>
      </c>
      <c r="P58" s="11">
        <f t="shared" si="15"/>
        <v>-0.55405684629225682</v>
      </c>
      <c r="S58" s="26">
        <f t="shared" si="30"/>
        <v>0.51</v>
      </c>
      <c r="T58" s="18">
        <f>INDEX(Inputs!R$4:R$81,Model!$C58)</f>
        <v>0.46467371137511315</v>
      </c>
      <c r="U58" s="10">
        <f>INDEX(Inputs!O$4:O$81,Model!$C58)</f>
        <v>55124401</v>
      </c>
      <c r="V58" s="14">
        <f>INDEX(Inputs!P$4:P$81,Model!$C58)</f>
        <v>25614860</v>
      </c>
      <c r="W58" s="11">
        <f>INDEX(Inputs!Q$4:Q$81,Model!$C58)</f>
        <v>29509541</v>
      </c>
      <c r="X58" s="10">
        <f t="shared" si="31"/>
        <v>28113444.510000002</v>
      </c>
      <c r="Y58" s="14">
        <f t="shared" si="32"/>
        <v>27010956.489999998</v>
      </c>
      <c r="Z58" s="14">
        <f t="shared" si="33"/>
        <v>2498584.5100000016</v>
      </c>
      <c r="AA58" s="11">
        <f t="shared" si="34"/>
        <v>-2498584.5100000016</v>
      </c>
      <c r="AB58" s="33">
        <f t="shared" si="16"/>
        <v>9.7544335983097377E-2</v>
      </c>
      <c r="AC58" s="34">
        <f t="shared" si="17"/>
        <v>-8.4670395584939856E-2</v>
      </c>
      <c r="AD58" s="26">
        <f t="shared" si="18"/>
        <v>-0.31399145509608573</v>
      </c>
      <c r="AE58" s="18">
        <f t="shared" si="19"/>
        <v>-0.31399145509608573</v>
      </c>
      <c r="AF58" s="10" t="str">
        <f t="shared" si="35"/>
        <v>Western Bay of Plenty District</v>
      </c>
      <c r="AG58" s="42">
        <f t="shared" si="20"/>
        <v>0.46</v>
      </c>
      <c r="AH58" s="18">
        <f t="shared" si="21"/>
        <v>0.51</v>
      </c>
      <c r="AI58" s="1"/>
      <c r="AJ58" s="1"/>
      <c r="AK58" s="1"/>
      <c r="AL58" s="1"/>
      <c r="AM58" s="1">
        <f>MIN(W30,Y30)</f>
        <v>7058507.3217175975</v>
      </c>
      <c r="AN58" s="1">
        <f>Y30-AM58</f>
        <v>0</v>
      </c>
      <c r="AO58" s="1">
        <f>W30-AM58</f>
        <v>1389367.6782824025</v>
      </c>
    </row>
    <row r="59" spans="1:41" x14ac:dyDescent="0.25">
      <c r="A59" s="94">
        <f t="shared" si="22"/>
        <v>57</v>
      </c>
      <c r="B59" s="95">
        <v>73</v>
      </c>
      <c r="C59">
        <f>MATCH(B59,Inputs!$A$4:$A$81,0)</f>
        <v>66</v>
      </c>
      <c r="D59" t="str">
        <f>INDEX(Inputs!$A$4:$S$81,Model!$C59,D$90)</f>
        <v>Southland District</v>
      </c>
      <c r="E59">
        <f>INDEX(Inputs!$A$4:$S$81,Model!$C59,E$90)</f>
        <v>20803</v>
      </c>
      <c r="F59">
        <f>INDEX(Inputs!$A$4:$S$81,Model!$C59,F$90)</f>
        <v>941.48036539269219</v>
      </c>
      <c r="G59">
        <f>INDEX(Inputs!$A$4:$S$81,Model!$C59,G$90)</f>
        <v>2.4574727954201423E-7</v>
      </c>
      <c r="H59" s="10">
        <f t="shared" si="23"/>
        <v>-0.28173410802962384</v>
      </c>
      <c r="I59" s="14">
        <f t="shared" si="24"/>
        <v>-1.4563433417168801</v>
      </c>
      <c r="J59" s="14">
        <f t="shared" si="25"/>
        <v>0.38819353795432487</v>
      </c>
      <c r="K59" s="10">
        <f t="shared" si="26"/>
        <v>6.797614468613161</v>
      </c>
      <c r="L59" s="14">
        <f t="shared" si="27"/>
        <v>0.51120211057061948</v>
      </c>
      <c r="M59" s="14">
        <f t="shared" si="28"/>
        <v>1.274990144471069</v>
      </c>
      <c r="N59" s="14">
        <f t="shared" si="29"/>
        <v>8.583806723654849</v>
      </c>
      <c r="O59" s="14">
        <f t="shared" si="14"/>
        <v>0.46384902281944768</v>
      </c>
      <c r="P59" s="11">
        <f t="shared" si="15"/>
        <v>-0.55526072328417442</v>
      </c>
      <c r="S59" s="26">
        <f t="shared" si="30"/>
        <v>0.51</v>
      </c>
      <c r="T59" s="18">
        <f>INDEX(Inputs!R$4:R$81,Model!$C59)</f>
        <v>0.55192684104714351</v>
      </c>
      <c r="U59" s="10">
        <f>INDEX(Inputs!O$4:O$81,Model!$C59)</f>
        <v>91555165</v>
      </c>
      <c r="V59" s="14">
        <f>INDEX(Inputs!P$4:P$81,Model!$C59)</f>
        <v>50531753</v>
      </c>
      <c r="W59" s="11">
        <f>INDEX(Inputs!Q$4:Q$81,Model!$C59)</f>
        <v>41023412</v>
      </c>
      <c r="X59" s="10">
        <f t="shared" si="31"/>
        <v>46693134.149999999</v>
      </c>
      <c r="Y59" s="14">
        <f t="shared" si="32"/>
        <v>44862030.850000001</v>
      </c>
      <c r="Z59" s="14">
        <f t="shared" si="33"/>
        <v>-3838618.8500000015</v>
      </c>
      <c r="AA59" s="11">
        <f t="shared" si="34"/>
        <v>3838618.8500000015</v>
      </c>
      <c r="AB59" s="33">
        <f t="shared" si="16"/>
        <v>-7.5964490090023221E-2</v>
      </c>
      <c r="AC59" s="34">
        <f t="shared" si="17"/>
        <v>9.3571418437842308E-2</v>
      </c>
      <c r="AD59" s="26">
        <f t="shared" si="18"/>
        <v>0.48239053489960321</v>
      </c>
      <c r="AE59" s="18">
        <f t="shared" si="19"/>
        <v>0.48239053489960321</v>
      </c>
      <c r="AF59" s="10" t="str">
        <f t="shared" si="35"/>
        <v>Southland District</v>
      </c>
      <c r="AG59" s="42">
        <f t="shared" si="20"/>
        <v>0.55000000000000004</v>
      </c>
      <c r="AH59" s="18">
        <f t="shared" si="21"/>
        <v>0.51</v>
      </c>
      <c r="AI59" s="1"/>
      <c r="AJ59" s="1">
        <f>MIN(V31,X31)</f>
        <v>26021940</v>
      </c>
      <c r="AK59" s="1">
        <f>X31-AJ59</f>
        <v>3183530.0455403738</v>
      </c>
      <c r="AL59" s="1">
        <f>V31-AJ59</f>
        <v>0</v>
      </c>
      <c r="AM59" s="1"/>
      <c r="AN59" s="1"/>
      <c r="AO59" s="1"/>
    </row>
    <row r="60" spans="1:41" x14ac:dyDescent="0.25">
      <c r="A60" s="94">
        <f t="shared" si="22"/>
        <v>58</v>
      </c>
      <c r="B60" s="95">
        <v>11</v>
      </c>
      <c r="C60">
        <f>MATCH(B60,Inputs!$A$4:$A$81,0)</f>
        <v>5</v>
      </c>
      <c r="D60" t="str">
        <f>INDEX(Inputs!$A$4:$S$81,Model!$C60,D$90)</f>
        <v>Hamilton City</v>
      </c>
      <c r="E60">
        <f>INDEX(Inputs!$A$4:$S$81,Model!$C60,E$90)</f>
        <v>55695</v>
      </c>
      <c r="F60">
        <f>INDEX(Inputs!$A$4:$S$81,Model!$C60,F$90)</f>
        <v>1011.2324243470257</v>
      </c>
      <c r="G60">
        <f>INDEX(Inputs!$A$4:$S$81,Model!$C60,G$90)</f>
        <v>2.4575724760192062E-8</v>
      </c>
      <c r="H60" s="10">
        <f t="shared" si="23"/>
        <v>0.18952127701753585</v>
      </c>
      <c r="I60" s="14">
        <f t="shared" si="24"/>
        <v>0.20930698607163278</v>
      </c>
      <c r="J60" s="14">
        <f t="shared" si="25"/>
        <v>-0.82765933315066598</v>
      </c>
      <c r="K60" s="10">
        <f t="shared" si="26"/>
        <v>6.3263590835660013</v>
      </c>
      <c r="L60" s="14">
        <f t="shared" si="27"/>
        <v>2.1768524383591323</v>
      </c>
      <c r="M60" s="14">
        <f t="shared" si="28"/>
        <v>5.9137273366078102E-2</v>
      </c>
      <c r="N60" s="14">
        <f t="shared" si="29"/>
        <v>8.5623487952912125</v>
      </c>
      <c r="O60" s="14">
        <f t="shared" si="14"/>
        <v>0.46236591153659179</v>
      </c>
      <c r="P60" s="11">
        <f t="shared" si="15"/>
        <v>-0.57671865164781089</v>
      </c>
      <c r="S60" s="26">
        <f t="shared" si="30"/>
        <v>0.51</v>
      </c>
      <c r="T60" s="18">
        <f>INDEX(Inputs!R$4:R$81,Model!$C60)</f>
        <v>0.52274084352888461</v>
      </c>
      <c r="U60" s="10">
        <f>INDEX(Inputs!O$4:O$81,Model!$C60)</f>
        <v>150268808</v>
      </c>
      <c r="V60" s="14">
        <f>INDEX(Inputs!P$4:P$81,Model!$C60)</f>
        <v>78551643.450000003</v>
      </c>
      <c r="W60" s="11">
        <f>INDEX(Inputs!Q$4:Q$81,Model!$C60)</f>
        <v>71717164.549999997</v>
      </c>
      <c r="X60" s="10">
        <f t="shared" si="31"/>
        <v>76637092.079999998</v>
      </c>
      <c r="Y60" s="14">
        <f t="shared" si="32"/>
        <v>73631715.920000002</v>
      </c>
      <c r="Z60" s="14">
        <f t="shared" si="33"/>
        <v>-1914551.3700000048</v>
      </c>
      <c r="AA60" s="11">
        <f t="shared" si="34"/>
        <v>1914551.3700000048</v>
      </c>
      <c r="AB60" s="33">
        <f t="shared" si="16"/>
        <v>-2.4373154855998176E-2</v>
      </c>
      <c r="AC60" s="34">
        <f t="shared" si="17"/>
        <v>2.6695859798879971E-2</v>
      </c>
      <c r="AD60" s="26">
        <f t="shared" si="18"/>
        <v>0.24059733345681614</v>
      </c>
      <c r="AE60" s="18">
        <f t="shared" si="19"/>
        <v>0.24059733345681614</v>
      </c>
      <c r="AF60" s="10" t="str">
        <f t="shared" si="35"/>
        <v>Hamilton City</v>
      </c>
      <c r="AG60" s="42">
        <f t="shared" si="20"/>
        <v>0.52</v>
      </c>
      <c r="AH60" s="18">
        <f t="shared" si="21"/>
        <v>0.51</v>
      </c>
      <c r="AI60" s="1"/>
      <c r="AJ60" s="1"/>
      <c r="AK60" s="1"/>
      <c r="AL60" s="1"/>
      <c r="AM60" s="1">
        <f>MIN(W31,Y31)</f>
        <v>23483185.954459626</v>
      </c>
      <c r="AN60" s="1">
        <f>Y31-AM60</f>
        <v>0</v>
      </c>
      <c r="AO60" s="1">
        <f>W31-AM60</f>
        <v>3183530.0455403738</v>
      </c>
    </row>
    <row r="61" spans="1:41" x14ac:dyDescent="0.25">
      <c r="A61" s="94">
        <f t="shared" si="22"/>
        <v>59</v>
      </c>
      <c r="B61" s="95">
        <v>54</v>
      </c>
      <c r="C61">
        <f>MATCH(B61,Inputs!$A$4:$A$81,0)</f>
        <v>48</v>
      </c>
      <c r="D61" t="str">
        <f>INDEX(Inputs!$A$4:$S$81,Model!$C61,D$90)</f>
        <v>Ashburton District</v>
      </c>
      <c r="E61">
        <f>INDEX(Inputs!$A$4:$S$81,Model!$C61,E$90)</f>
        <v>15422</v>
      </c>
      <c r="F61">
        <f>INDEX(Inputs!$A$4:$S$81,Model!$C61,F$90)</f>
        <v>954.60550559333183</v>
      </c>
      <c r="G61">
        <f>INDEX(Inputs!$A$4:$S$81,Model!$C61,G$90)</f>
        <v>1.668428119898984E-7</v>
      </c>
      <c r="H61" s="10">
        <f t="shared" si="23"/>
        <v>-0.35441051600104323</v>
      </c>
      <c r="I61" s="14">
        <f t="shared" si="24"/>
        <v>-1.1429204205128118</v>
      </c>
      <c r="J61" s="14">
        <f t="shared" si="25"/>
        <v>-4.5570304375617904E-2</v>
      </c>
      <c r="K61" s="10">
        <f t="shared" si="26"/>
        <v>6.8702908765845807</v>
      </c>
      <c r="L61" s="14">
        <f t="shared" si="27"/>
        <v>0.82462503177468771</v>
      </c>
      <c r="M61" s="14">
        <f t="shared" si="28"/>
        <v>0.84122630214112615</v>
      </c>
      <c r="N61" s="14">
        <f t="shared" si="29"/>
        <v>8.5361422105003939</v>
      </c>
      <c r="O61" s="14">
        <f t="shared" si="14"/>
        <v>0.46055458656012072</v>
      </c>
      <c r="P61" s="11">
        <f t="shared" si="15"/>
        <v>-0.6029252364386295</v>
      </c>
      <c r="S61" s="26">
        <f t="shared" si="30"/>
        <v>0.51</v>
      </c>
      <c r="T61" s="18">
        <f>INDEX(Inputs!R$4:R$81,Model!$C61)</f>
        <v>0.48134328578398822</v>
      </c>
      <c r="U61" s="10">
        <f>INDEX(Inputs!O$4:O$81,Model!$C61)</f>
        <v>38975861</v>
      </c>
      <c r="V61" s="14">
        <f>INDEX(Inputs!P$4:P$81,Model!$C61)</f>
        <v>18760769</v>
      </c>
      <c r="W61" s="11">
        <f>INDEX(Inputs!Q$4:Q$81,Model!$C61)</f>
        <v>20215092</v>
      </c>
      <c r="X61" s="10">
        <f t="shared" si="31"/>
        <v>19877689.109999999</v>
      </c>
      <c r="Y61" s="14">
        <f t="shared" si="32"/>
        <v>19098171.890000001</v>
      </c>
      <c r="Z61" s="14">
        <f t="shared" si="33"/>
        <v>1116920.1099999994</v>
      </c>
      <c r="AA61" s="11">
        <f t="shared" si="34"/>
        <v>-1116920.1099999994</v>
      </c>
      <c r="AB61" s="33">
        <f t="shared" si="16"/>
        <v>5.9534878874101554E-2</v>
      </c>
      <c r="AC61" s="34">
        <f t="shared" si="17"/>
        <v>-5.5251794550329004E-2</v>
      </c>
      <c r="AD61" s="26">
        <f t="shared" si="18"/>
        <v>-0.14036081996081043</v>
      </c>
      <c r="AE61" s="18">
        <f t="shared" si="19"/>
        <v>-0.14036081996081043</v>
      </c>
      <c r="AF61" s="10" t="str">
        <f t="shared" si="35"/>
        <v>Ashburton District</v>
      </c>
      <c r="AG61" s="42">
        <f t="shared" si="20"/>
        <v>0.48</v>
      </c>
      <c r="AH61" s="18">
        <f t="shared" si="21"/>
        <v>0.51</v>
      </c>
      <c r="AI61" s="1"/>
      <c r="AJ61" s="1">
        <f>MIN(V32,X32)</f>
        <v>17704858.450538706</v>
      </c>
      <c r="AK61" s="1">
        <f>X32-AJ61</f>
        <v>0</v>
      </c>
      <c r="AL61" s="1">
        <f>V32-AJ61</f>
        <v>1112175.549461294</v>
      </c>
      <c r="AM61" s="1"/>
      <c r="AN61" s="1"/>
      <c r="AO61" s="1"/>
    </row>
    <row r="62" spans="1:41" x14ac:dyDescent="0.25">
      <c r="A62" s="94">
        <f t="shared" si="22"/>
        <v>60</v>
      </c>
      <c r="B62" s="95">
        <v>52</v>
      </c>
      <c r="C62">
        <f>MATCH(B62,Inputs!$A$4:$A$81,0)</f>
        <v>46</v>
      </c>
      <c r="D62" t="str">
        <f>INDEX(Inputs!$A$4:$S$81,Model!$C62,D$90)</f>
        <v>Nelson City</v>
      </c>
      <c r="E62">
        <f>INDEX(Inputs!$A$4:$S$81,Model!$C62,E$90)</f>
        <v>21250</v>
      </c>
      <c r="F62">
        <f>INDEX(Inputs!$A$4:$S$81,Model!$C62,F$90)</f>
        <v>988.50857669407424</v>
      </c>
      <c r="G62">
        <f>INDEX(Inputs!$A$4:$S$81,Model!$C62,G$90)</f>
        <v>2.5461224330536139E-8</v>
      </c>
      <c r="H62" s="10">
        <f t="shared" si="23"/>
        <v>-0.27569687436241985</v>
      </c>
      <c r="I62" s="14">
        <f t="shared" si="24"/>
        <v>-0.33332910036325109</v>
      </c>
      <c r="J62" s="14">
        <f t="shared" si="25"/>
        <v>-0.82279145040676094</v>
      </c>
      <c r="K62" s="10">
        <f t="shared" si="26"/>
        <v>6.7915772349459571</v>
      </c>
      <c r="L62" s="14">
        <f t="shared" si="27"/>
        <v>1.6342163519242485</v>
      </c>
      <c r="M62" s="14">
        <f t="shared" si="28"/>
        <v>6.4005156109983141E-2</v>
      </c>
      <c r="N62" s="14">
        <f t="shared" si="29"/>
        <v>8.4897987429801898</v>
      </c>
      <c r="O62" s="14">
        <f t="shared" si="14"/>
        <v>0.4573514572364924</v>
      </c>
      <c r="P62" s="11">
        <f t="shared" si="15"/>
        <v>-0.64926870395883363</v>
      </c>
      <c r="S62" s="26">
        <f t="shared" si="30"/>
        <v>0.51</v>
      </c>
      <c r="T62" s="18">
        <f>INDEX(Inputs!R$4:R$81,Model!$C62)</f>
        <v>0.47586589938705104</v>
      </c>
      <c r="U62" s="10">
        <f>INDEX(Inputs!O$4:O$81,Model!$C62)</f>
        <v>24540380</v>
      </c>
      <c r="V62" s="14">
        <f>INDEX(Inputs!P$4:P$81,Model!$C62)</f>
        <v>11677930</v>
      </c>
      <c r="W62" s="11">
        <f>INDEX(Inputs!Q$4:Q$81,Model!$C62)</f>
        <v>12862450</v>
      </c>
      <c r="X62" s="10">
        <f t="shared" si="31"/>
        <v>12515593.800000001</v>
      </c>
      <c r="Y62" s="14">
        <f t="shared" si="32"/>
        <v>12024786.199999999</v>
      </c>
      <c r="Z62" s="14">
        <f t="shared" si="33"/>
        <v>837663.80000000075</v>
      </c>
      <c r="AA62" s="11">
        <f t="shared" si="34"/>
        <v>-837663.80000000075</v>
      </c>
      <c r="AB62" s="33">
        <f t="shared" si="16"/>
        <v>7.1730503608088136E-2</v>
      </c>
      <c r="AC62" s="34">
        <f t="shared" si="17"/>
        <v>-6.5124746840609746E-2</v>
      </c>
      <c r="AD62" s="26">
        <f t="shared" si="18"/>
        <v>-0.10526731210837316</v>
      </c>
      <c r="AE62" s="18">
        <f t="shared" si="19"/>
        <v>-0.10526731210837316</v>
      </c>
      <c r="AF62" s="10" t="str">
        <f t="shared" si="35"/>
        <v>Nelson City</v>
      </c>
      <c r="AG62" s="42">
        <f t="shared" si="20"/>
        <v>0.48</v>
      </c>
      <c r="AH62" s="18">
        <f t="shared" si="21"/>
        <v>0.51</v>
      </c>
      <c r="AI62" s="1"/>
      <c r="AJ62" s="1"/>
      <c r="AK62" s="1"/>
      <c r="AL62" s="1"/>
      <c r="AM62" s="1">
        <f>MIN(W32,Y32)</f>
        <v>13514243</v>
      </c>
      <c r="AN62" s="1">
        <f>Y32-AM62</f>
        <v>1112175.549461294</v>
      </c>
      <c r="AO62" s="1">
        <f>W32-AM62</f>
        <v>0</v>
      </c>
    </row>
    <row r="63" spans="1:41" x14ac:dyDescent="0.25">
      <c r="A63" s="94">
        <f t="shared" si="22"/>
        <v>61</v>
      </c>
      <c r="B63" s="95">
        <v>53</v>
      </c>
      <c r="C63">
        <f>MATCH(B63,Inputs!$A$4:$A$81,0)</f>
        <v>47</v>
      </c>
      <c r="D63" t="str">
        <f>INDEX(Inputs!$A$4:$S$81,Model!$C63,D$90)</f>
        <v>Tasman District</v>
      </c>
      <c r="E63">
        <f>INDEX(Inputs!$A$4:$S$81,Model!$C63,E$90)</f>
        <v>23119</v>
      </c>
      <c r="F63">
        <f>INDEX(Inputs!$A$4:$S$81,Model!$C63,F$90)</f>
        <v>964.50621765140818</v>
      </c>
      <c r="G63">
        <f>INDEX(Inputs!$A$4:$S$81,Model!$C63,G$90)</f>
        <v>1.3249399117164095E-7</v>
      </c>
      <c r="H63" s="10">
        <f t="shared" si="23"/>
        <v>-0.25045394433109058</v>
      </c>
      <c r="I63" s="14">
        <f t="shared" si="24"/>
        <v>-0.90649551016469931</v>
      </c>
      <c r="J63" s="14">
        <f t="shared" si="25"/>
        <v>-0.23439708389591846</v>
      </c>
      <c r="K63" s="10">
        <f t="shared" si="26"/>
        <v>6.7663343049146283</v>
      </c>
      <c r="L63" s="14">
        <f t="shared" si="27"/>
        <v>1.0610499421228003</v>
      </c>
      <c r="M63" s="14">
        <f t="shared" si="28"/>
        <v>0.65239952262082568</v>
      </c>
      <c r="N63" s="14">
        <f t="shared" si="29"/>
        <v>8.4797837696582548</v>
      </c>
      <c r="O63" s="14">
        <f t="shared" si="14"/>
        <v>0.4566592506227154</v>
      </c>
      <c r="P63" s="11">
        <f t="shared" si="15"/>
        <v>-0.65928367728076864</v>
      </c>
      <c r="S63" s="26">
        <f t="shared" si="30"/>
        <v>0.51</v>
      </c>
      <c r="T63" s="18">
        <f>INDEX(Inputs!R$4:R$81,Model!$C63)</f>
        <v>0.50809563845955596</v>
      </c>
      <c r="U63" s="10">
        <f>INDEX(Inputs!O$4:O$81,Model!$C63)</f>
        <v>51111781</v>
      </c>
      <c r="V63" s="14">
        <f>INDEX(Inputs!P$4:P$81,Model!$C63)</f>
        <v>25969673</v>
      </c>
      <c r="W63" s="11">
        <f>INDEX(Inputs!Q$4:Q$81,Model!$C63)</f>
        <v>25142108</v>
      </c>
      <c r="X63" s="10">
        <f t="shared" si="31"/>
        <v>26067008.309999999</v>
      </c>
      <c r="Y63" s="14">
        <f t="shared" si="32"/>
        <v>25044772.690000001</v>
      </c>
      <c r="Z63" s="14">
        <f t="shared" si="33"/>
        <v>97335.309999998659</v>
      </c>
      <c r="AA63" s="11">
        <f t="shared" si="34"/>
        <v>-97335.309999998659</v>
      </c>
      <c r="AB63" s="33">
        <f t="shared" si="16"/>
        <v>3.74803756674174E-3</v>
      </c>
      <c r="AC63" s="34">
        <f t="shared" si="17"/>
        <v>-3.8714060889404604E-3</v>
      </c>
      <c r="AD63" s="26">
        <f t="shared" si="18"/>
        <v>-1.2231907904979425E-2</v>
      </c>
      <c r="AE63" s="18">
        <f t="shared" si="19"/>
        <v>-1.2231907904979425E-2</v>
      </c>
      <c r="AF63" s="10" t="str">
        <f t="shared" si="35"/>
        <v>Tasman District</v>
      </c>
      <c r="AG63" s="42">
        <f t="shared" si="20"/>
        <v>0.51</v>
      </c>
      <c r="AH63" s="18">
        <f t="shared" si="21"/>
        <v>0.51</v>
      </c>
      <c r="AI63" s="1"/>
      <c r="AJ63" s="1">
        <f>MIN(V33,X33)</f>
        <v>7503930.311218923</v>
      </c>
      <c r="AK63" s="1">
        <f>X33-AJ63</f>
        <v>0</v>
      </c>
      <c r="AL63" s="1">
        <f>V33-AJ63</f>
        <v>314972.68878107704</v>
      </c>
      <c r="AM63" s="1"/>
      <c r="AN63" s="1"/>
      <c r="AO63" s="1"/>
    </row>
    <row r="64" spans="1:41" x14ac:dyDescent="0.25">
      <c r="A64" s="94">
        <f t="shared" si="22"/>
        <v>62</v>
      </c>
      <c r="B64" s="95">
        <v>68</v>
      </c>
      <c r="C64">
        <f>MATCH(B64,Inputs!$A$4:$A$81,0)</f>
        <v>61</v>
      </c>
      <c r="D64" t="str">
        <f>INDEX(Inputs!$A$4:$S$81,Model!$C64,D$90)</f>
        <v>Dunedin City</v>
      </c>
      <c r="E64">
        <f>INDEX(Inputs!$A$4:$S$81,Model!$C64,E$90)</f>
        <v>53616</v>
      </c>
      <c r="F64">
        <f>INDEX(Inputs!$A$4:$S$81,Model!$C64,F$90)</f>
        <v>991.00715712804435</v>
      </c>
      <c r="G64">
        <f>INDEX(Inputs!$A$4:$S$81,Model!$C64,G$90)</f>
        <v>8.7668741690621963E-8</v>
      </c>
      <c r="H64" s="10">
        <f t="shared" si="23"/>
        <v>0.1614420627130235</v>
      </c>
      <c r="I64" s="14">
        <f t="shared" si="24"/>
        <v>-0.27366403267581568</v>
      </c>
      <c r="J64" s="14">
        <f t="shared" si="25"/>
        <v>-0.48081624179014959</v>
      </c>
      <c r="K64" s="10">
        <f t="shared" si="26"/>
        <v>6.3544382978705141</v>
      </c>
      <c r="L64" s="14">
        <f t="shared" si="27"/>
        <v>1.6938814196116838</v>
      </c>
      <c r="M64" s="14">
        <f t="shared" si="28"/>
        <v>0.40598036472659449</v>
      </c>
      <c r="N64" s="14">
        <f t="shared" si="29"/>
        <v>8.4543000822087926</v>
      </c>
      <c r="O64" s="14">
        <f t="shared" si="14"/>
        <v>0.45489789026468946</v>
      </c>
      <c r="P64" s="11">
        <f t="shared" si="15"/>
        <v>-0.68476736473023081</v>
      </c>
      <c r="S64" s="26">
        <f t="shared" si="30"/>
        <v>0.51</v>
      </c>
      <c r="T64" s="18">
        <f>INDEX(Inputs!R$4:R$81,Model!$C64)</f>
        <v>0.58784179656853208</v>
      </c>
      <c r="U64" s="10">
        <f>INDEX(Inputs!O$4:O$81,Model!$C64)</f>
        <v>123795823</v>
      </c>
      <c r="V64" s="14">
        <f>INDEX(Inputs!P$4:P$81,Model!$C64)</f>
        <v>72772359</v>
      </c>
      <c r="W64" s="11">
        <f>INDEX(Inputs!Q$4:Q$81,Model!$C64)</f>
        <v>51023464</v>
      </c>
      <c r="X64" s="10">
        <f t="shared" si="31"/>
        <v>63135869.730000004</v>
      </c>
      <c r="Y64" s="14">
        <f t="shared" si="32"/>
        <v>60659953.269999996</v>
      </c>
      <c r="Z64" s="14">
        <f t="shared" si="33"/>
        <v>-9636489.2699999958</v>
      </c>
      <c r="AA64" s="11">
        <f t="shared" si="34"/>
        <v>9636489.2699999958</v>
      </c>
      <c r="AB64" s="33">
        <f t="shared" si="16"/>
        <v>-0.13241963573009907</v>
      </c>
      <c r="AC64" s="34">
        <f t="shared" si="17"/>
        <v>0.1888638778033572</v>
      </c>
      <c r="AD64" s="26">
        <f t="shared" si="18"/>
        <v>1.2109957761265051</v>
      </c>
      <c r="AE64" s="18">
        <f t="shared" si="19"/>
        <v>1.2109957761265051</v>
      </c>
      <c r="AF64" s="10" t="str">
        <f t="shared" si="35"/>
        <v>Dunedin City</v>
      </c>
      <c r="AG64" s="42">
        <f t="shared" si="20"/>
        <v>0.59</v>
      </c>
      <c r="AH64" s="18">
        <f t="shared" si="21"/>
        <v>0.51</v>
      </c>
      <c r="AI64" s="1"/>
      <c r="AJ64" s="1"/>
      <c r="AK64" s="1"/>
      <c r="AL64" s="1"/>
      <c r="AM64" s="1">
        <f>MIN(W33,Y33)</f>
        <v>5980186</v>
      </c>
      <c r="AN64" s="1">
        <f>Y33-AM64</f>
        <v>314972.68878107704</v>
      </c>
      <c r="AO64" s="1">
        <f>W33-AM64</f>
        <v>0</v>
      </c>
    </row>
    <row r="65" spans="1:41" x14ac:dyDescent="0.25">
      <c r="A65" s="94">
        <f t="shared" si="22"/>
        <v>63</v>
      </c>
      <c r="B65" s="95">
        <v>48</v>
      </c>
      <c r="C65">
        <f>MATCH(B65,Inputs!$A$4:$A$81,0)</f>
        <v>42</v>
      </c>
      <c r="D65" t="str">
        <f>INDEX(Inputs!$A$4:$S$81,Model!$C65,D$90)</f>
        <v>Upper Hutt City</v>
      </c>
      <c r="E65">
        <f>INDEX(Inputs!$A$4:$S$81,Model!$C65,E$90)</f>
        <v>16451</v>
      </c>
      <c r="F65">
        <f>INDEX(Inputs!$A$4:$S$81,Model!$C65,F$90)</f>
        <v>976.87231214324811</v>
      </c>
      <c r="G65">
        <f>INDEX(Inputs!$A$4:$S$81,Model!$C65,G$90)</f>
        <v>3.4954756947754945E-8</v>
      </c>
      <c r="H65" s="10">
        <f t="shared" si="23"/>
        <v>-0.34051272306244623</v>
      </c>
      <c r="I65" s="14">
        <f t="shared" si="24"/>
        <v>-0.61119828664786957</v>
      </c>
      <c r="J65" s="14">
        <f t="shared" si="25"/>
        <v>-0.77060237527474018</v>
      </c>
      <c r="K65" s="10">
        <f t="shared" si="26"/>
        <v>6.8563930836459832</v>
      </c>
      <c r="L65" s="14">
        <f t="shared" si="27"/>
        <v>1.35634716563963</v>
      </c>
      <c r="M65" s="14">
        <f t="shared" si="28"/>
        <v>0.1161942312420039</v>
      </c>
      <c r="N65" s="14">
        <f t="shared" si="29"/>
        <v>8.3289344805276162</v>
      </c>
      <c r="O65" s="14">
        <f t="shared" si="14"/>
        <v>0.44623297465939482</v>
      </c>
      <c r="P65" s="11">
        <f t="shared" si="15"/>
        <v>-0.8101329664114072</v>
      </c>
      <c r="S65" s="26">
        <f t="shared" si="30"/>
        <v>0.51</v>
      </c>
      <c r="T65" s="18">
        <f>INDEX(Inputs!R$4:R$81,Model!$C65)</f>
        <v>0.49055462086930901</v>
      </c>
      <c r="U65" s="10">
        <f>INDEX(Inputs!O$4:O$81,Model!$C65)</f>
        <v>20866182</v>
      </c>
      <c r="V65" s="14">
        <f>INDEX(Inputs!P$4:P$81,Model!$C65)</f>
        <v>10236002</v>
      </c>
      <c r="W65" s="11">
        <f>INDEX(Inputs!Q$4:Q$81,Model!$C65)</f>
        <v>10630180</v>
      </c>
      <c r="X65" s="10">
        <f t="shared" si="31"/>
        <v>10641752.82</v>
      </c>
      <c r="Y65" s="14">
        <f t="shared" si="32"/>
        <v>10224429.18</v>
      </c>
      <c r="Z65" s="14">
        <f t="shared" si="33"/>
        <v>405750.8200000003</v>
      </c>
      <c r="AA65" s="11">
        <f t="shared" si="34"/>
        <v>-405750.8200000003</v>
      </c>
      <c r="AB65" s="33">
        <f t="shared" si="16"/>
        <v>3.9639579984450987E-2</v>
      </c>
      <c r="AC65" s="34">
        <f t="shared" si="17"/>
        <v>-3.8169703617436421E-2</v>
      </c>
      <c r="AD65" s="26">
        <f t="shared" si="18"/>
        <v>-5.0989786364372354E-2</v>
      </c>
      <c r="AE65" s="18">
        <f t="shared" si="19"/>
        <v>-5.0989786364372354E-2</v>
      </c>
      <c r="AF65" s="10" t="str">
        <f t="shared" si="35"/>
        <v>Upper Hutt City</v>
      </c>
      <c r="AG65" s="42">
        <f t="shared" si="20"/>
        <v>0.49</v>
      </c>
      <c r="AH65" s="18">
        <f t="shared" si="21"/>
        <v>0.51</v>
      </c>
      <c r="AI65" s="1"/>
      <c r="AJ65" s="1">
        <f>MIN(V34,X34)</f>
        <v>40519442</v>
      </c>
      <c r="AK65" s="1">
        <f>X34-AJ65</f>
        <v>358362.65752157569</v>
      </c>
      <c r="AL65" s="1">
        <f>V34-AJ65</f>
        <v>0</v>
      </c>
      <c r="AM65" s="1"/>
      <c r="AN65" s="1"/>
      <c r="AO65" s="1"/>
    </row>
    <row r="66" spans="1:41" x14ac:dyDescent="0.25">
      <c r="A66" s="94">
        <f t="shared" si="22"/>
        <v>64</v>
      </c>
      <c r="B66" s="95">
        <v>84</v>
      </c>
      <c r="C66">
        <f>MATCH(B66,Inputs!$A$4:$A$81,0)</f>
        <v>70</v>
      </c>
      <c r="D66" t="str">
        <f>INDEX(Inputs!$A$4:$S$81,Model!$C66,D$90)</f>
        <v>Bay of Plenty Regional</v>
      </c>
      <c r="E66">
        <f>INDEX(Inputs!$A$4:$S$81,Model!$C66,E$90)</f>
        <v>99213</v>
      </c>
      <c r="F66">
        <f>INDEX(Inputs!$A$4:$S$81,Model!$C66,F$90)</f>
        <v>1014.0994240305541</v>
      </c>
      <c r="G66">
        <f>INDEX(Inputs!$A$4:$S$81,Model!$C66,G$90)</f>
        <v>7.4156753829240793E-8</v>
      </c>
      <c r="H66" s="10">
        <f t="shared" si="23"/>
        <v>0.77728041511458656</v>
      </c>
      <c r="I66" s="14">
        <f t="shared" si="24"/>
        <v>0.2777697531100245</v>
      </c>
      <c r="J66" s="14">
        <f t="shared" si="25"/>
        <v>-0.55509608872526883</v>
      </c>
      <c r="K66" s="10">
        <f t="shared" si="26"/>
        <v>5.7385999454689509</v>
      </c>
      <c r="L66" s="14">
        <f t="shared" si="27"/>
        <v>2.245315205397524</v>
      </c>
      <c r="M66" s="14">
        <f t="shared" si="28"/>
        <v>0.33170051779147525</v>
      </c>
      <c r="N66" s="14">
        <f t="shared" si="29"/>
        <v>8.3156156686579497</v>
      </c>
      <c r="O66" s="14">
        <f t="shared" si="14"/>
        <v>0.44531241607501576</v>
      </c>
      <c r="P66" s="11">
        <f t="shared" si="15"/>
        <v>-0.82345177828107374</v>
      </c>
      <c r="S66" s="26">
        <f t="shared" si="30"/>
        <v>0.51</v>
      </c>
      <c r="T66" s="18">
        <f>INDEX(Inputs!R$4:R$81,Model!$C66)</f>
        <v>0.52771240182704438</v>
      </c>
      <c r="U66" s="10">
        <f>INDEX(Inputs!O$4:O$81,Model!$C66)</f>
        <v>39897444</v>
      </c>
      <c r="V66" s="14">
        <f>INDEX(Inputs!P$4:P$81,Model!$C66)</f>
        <v>21054376</v>
      </c>
      <c r="W66" s="11">
        <f>INDEX(Inputs!Q$4:Q$81,Model!$C66)</f>
        <v>18843068</v>
      </c>
      <c r="X66" s="10">
        <f t="shared" si="31"/>
        <v>20347696.440000001</v>
      </c>
      <c r="Y66" s="14">
        <f t="shared" si="32"/>
        <v>19549747.559999999</v>
      </c>
      <c r="Z66" s="14">
        <f t="shared" si="33"/>
        <v>-706679.55999999866</v>
      </c>
      <c r="AA66" s="11">
        <f t="shared" si="34"/>
        <v>706679.55999999866</v>
      </c>
      <c r="AB66" s="33">
        <f t="shared" si="16"/>
        <v>-3.3564497945700156E-2</v>
      </c>
      <c r="AC66" s="34">
        <f t="shared" si="17"/>
        <v>3.7503423540158037E-2</v>
      </c>
      <c r="AD66" s="26">
        <f t="shared" si="18"/>
        <v>8.8806819398340481E-2</v>
      </c>
      <c r="AE66" s="18">
        <f t="shared" si="19"/>
        <v>8.8806819398340481E-2</v>
      </c>
      <c r="AF66" s="10" t="str">
        <f t="shared" si="35"/>
        <v>Bay of Plenty Regional</v>
      </c>
      <c r="AG66" s="42">
        <f t="shared" si="20"/>
        <v>0.53</v>
      </c>
      <c r="AH66" s="18">
        <f t="shared" si="21"/>
        <v>0.51</v>
      </c>
      <c r="AI66" s="1"/>
      <c r="AJ66" s="1"/>
      <c r="AK66" s="1"/>
      <c r="AL66" s="1"/>
      <c r="AM66" s="1">
        <f>MIN(W34,Y34)</f>
        <v>34872943.342478424</v>
      </c>
      <c r="AN66" s="1">
        <f>Y34-AM66</f>
        <v>0</v>
      </c>
      <c r="AO66" s="1">
        <f>W34-AM66</f>
        <v>358362.65752157569</v>
      </c>
    </row>
    <row r="67" spans="1:41" x14ac:dyDescent="0.25">
      <c r="A67" s="94">
        <f t="shared" ref="A67:A80" si="36">RANK(P67,P$3:P$80,0)</f>
        <v>65</v>
      </c>
      <c r="B67" s="95">
        <v>51</v>
      </c>
      <c r="C67">
        <f>MATCH(B67,Inputs!$A$4:$A$81,0)</f>
        <v>45</v>
      </c>
      <c r="D67" t="str">
        <f>INDEX(Inputs!$A$4:$S$81,Model!$C67,D$90)</f>
        <v>Marlborough District</v>
      </c>
      <c r="E67">
        <f>INDEX(Inputs!$A$4:$S$81,Model!$C67,E$90)</f>
        <v>25919</v>
      </c>
      <c r="F67">
        <f>INDEX(Inputs!$A$4:$S$81,Model!$C67,F$90)</f>
        <v>965.17406912085596</v>
      </c>
      <c r="G67">
        <f>INDEX(Inputs!$A$4:$S$81,Model!$C67,G$90)</f>
        <v>1.0520250879108706E-7</v>
      </c>
      <c r="H67" s="10">
        <f t="shared" ref="H67:H80" si="37">STANDARDIZE(E67,E$87,E$88)</f>
        <v>-0.2126368206886497</v>
      </c>
      <c r="I67" s="14">
        <f t="shared" ref="I67:I80" si="38">STANDARDIZE(F67,F$87,F$88)</f>
        <v>-0.89054749320755078</v>
      </c>
      <c r="J67" s="14">
        <f t="shared" ref="J67:J80" si="39">STANDARDIZE(G67,G$87,G$88)</f>
        <v>-0.38442734995721639</v>
      </c>
      <c r="K67" s="10">
        <f t="shared" ref="K67:K80" si="40">IF(E$91=0,0,E$92*IF(E$91&lt;0,H67-H$82,H$83-H67))</f>
        <v>6.7285171812721867</v>
      </c>
      <c r="L67" s="14">
        <f t="shared" ref="L67:L80" si="41">IF(F$91=0,0,F$92*IF(F$91&lt;0,I67-I$82,I$83-I67))</f>
        <v>1.0769979590799488</v>
      </c>
      <c r="M67" s="14">
        <f t="shared" ref="M67:M80" si="42">IF(G$91=0,0,G$92*IF(G$91&lt;0,J67-J$82,J$83-J67))</f>
        <v>0.50236925655952769</v>
      </c>
      <c r="N67" s="14">
        <f t="shared" ref="N67:N80" si="43">SUM(K67:M67)</f>
        <v>8.3078843969116623</v>
      </c>
      <c r="O67" s="14">
        <f t="shared" si="14"/>
        <v>0.44477805245130381</v>
      </c>
      <c r="P67" s="11">
        <f t="shared" si="15"/>
        <v>-0.83118305002736115</v>
      </c>
      <c r="S67" s="26">
        <f t="shared" ref="S67:S80" si="44">MAX(IF(B67=74,$R$11,$R$12),MIN($R$10,$R$12+$R$15*P67))</f>
        <v>0.51</v>
      </c>
      <c r="T67" s="18">
        <f>INDEX(Inputs!R$4:R$81,Model!$C67)</f>
        <v>0.48515524901302576</v>
      </c>
      <c r="U67" s="10">
        <f>INDEX(Inputs!O$4:O$81,Model!$C67)</f>
        <v>42840530</v>
      </c>
      <c r="V67" s="14">
        <f>INDEX(Inputs!P$4:P$81,Model!$C67)</f>
        <v>20784308</v>
      </c>
      <c r="W67" s="11">
        <f>INDEX(Inputs!Q$4:Q$81,Model!$C67)</f>
        <v>22056222</v>
      </c>
      <c r="X67" s="10">
        <f t="shared" ref="X67:X80" si="45">U67*S67</f>
        <v>21848670.300000001</v>
      </c>
      <c r="Y67" s="14">
        <f t="shared" ref="Y67:Y80" si="46">U67-X67</f>
        <v>20991859.699999999</v>
      </c>
      <c r="Z67" s="14">
        <f t="shared" ref="Z67:Z80" si="47">X67-V67</f>
        <v>1064362.3000000007</v>
      </c>
      <c r="AA67" s="11">
        <f t="shared" ref="AA67:AA80" si="48">Y67-W67</f>
        <v>-1064362.3000000007</v>
      </c>
      <c r="AB67" s="33">
        <f t="shared" si="16"/>
        <v>5.1209898352160714E-2</v>
      </c>
      <c r="AC67" s="34">
        <f t="shared" si="17"/>
        <v>-4.8256782145192439E-2</v>
      </c>
      <c r="AD67" s="26">
        <f t="shared" si="18"/>
        <v>-0.13375599904220031</v>
      </c>
      <c r="AE67" s="18">
        <f t="shared" si="19"/>
        <v>-0.13375599904220031</v>
      </c>
      <c r="AF67" s="10" t="str">
        <f t="shared" ref="AF67:AF81" si="49">D67</f>
        <v>Marlborough District</v>
      </c>
      <c r="AG67" s="42">
        <f t="shared" si="20"/>
        <v>0.49</v>
      </c>
      <c r="AH67" s="18">
        <f t="shared" si="21"/>
        <v>0.51</v>
      </c>
      <c r="AI67" s="1"/>
      <c r="AJ67" s="1">
        <f>MIN(V35,X35)</f>
        <v>2807778.255849252</v>
      </c>
      <c r="AK67" s="1">
        <f>X35-AJ67</f>
        <v>0</v>
      </c>
      <c r="AL67" s="1">
        <f>V35-AJ67</f>
        <v>125188.74415074801</v>
      </c>
      <c r="AM67" s="1"/>
      <c r="AN67" s="1"/>
      <c r="AO67" s="1"/>
    </row>
    <row r="68" spans="1:41" x14ac:dyDescent="0.25">
      <c r="A68" s="94">
        <f t="shared" si="36"/>
        <v>66</v>
      </c>
      <c r="B68" s="95">
        <v>19</v>
      </c>
      <c r="C68">
        <f>MATCH(B68,Inputs!$A$4:$A$81,0)</f>
        <v>13</v>
      </c>
      <c r="D68" t="str">
        <f>INDEX(Inputs!$A$4:$S$81,Model!$C68,D$90)</f>
        <v>Waipa District</v>
      </c>
      <c r="E68">
        <f>INDEX(Inputs!$A$4:$S$81,Model!$C68,E$90)</f>
        <v>20625</v>
      </c>
      <c r="F68">
        <f>INDEX(Inputs!$A$4:$S$81,Model!$C68,F$90)</f>
        <v>965.15568691688622</v>
      </c>
      <c r="G68">
        <f>INDEX(Inputs!$A$4:$S$81,Model!$C68,G$90)</f>
        <v>8.1056701791456174E-8</v>
      </c>
      <c r="H68" s="10">
        <f t="shared" si="37"/>
        <v>-0.28413819660403611</v>
      </c>
      <c r="I68" s="14">
        <f t="shared" si="38"/>
        <v>-0.89098645263794851</v>
      </c>
      <c r="J68" s="14">
        <f t="shared" si="39"/>
        <v>-0.51716480254061292</v>
      </c>
      <c r="K68" s="10">
        <f t="shared" si="40"/>
        <v>6.8000185571875731</v>
      </c>
      <c r="L68" s="14">
        <f t="shared" si="41"/>
        <v>1.076558999649551</v>
      </c>
      <c r="M68" s="14">
        <f t="shared" si="42"/>
        <v>0.36963180397613116</v>
      </c>
      <c r="N68" s="14">
        <f t="shared" si="43"/>
        <v>8.2462093608132552</v>
      </c>
      <c r="O68" s="14">
        <f t="shared" ref="O68:O80" si="50">(N68-N$82)/N$84</f>
        <v>0.44051524849567586</v>
      </c>
      <c r="P68" s="11">
        <f t="shared" ref="P68:P80" si="51">N68-N$85</f>
        <v>-0.89285808612576822</v>
      </c>
      <c r="S68" s="26">
        <f t="shared" si="44"/>
        <v>0.51</v>
      </c>
      <c r="T68" s="18">
        <f>INDEX(Inputs!R$4:R$81,Model!$C68)</f>
        <v>0.49487742338228768</v>
      </c>
      <c r="U68" s="10">
        <f>INDEX(Inputs!O$4:O$81,Model!$C68)</f>
        <v>52209468</v>
      </c>
      <c r="V68" s="14">
        <f>INDEX(Inputs!P$4:P$81,Model!$C68)</f>
        <v>25837287</v>
      </c>
      <c r="W68" s="11">
        <f>INDEX(Inputs!Q$4:Q$81,Model!$C68)</f>
        <v>26372181</v>
      </c>
      <c r="X68" s="10">
        <f t="shared" si="45"/>
        <v>26626828.68</v>
      </c>
      <c r="Y68" s="14">
        <f t="shared" si="46"/>
        <v>25582639.32</v>
      </c>
      <c r="Z68" s="14">
        <f t="shared" si="47"/>
        <v>789541.6799999997</v>
      </c>
      <c r="AA68" s="11">
        <f t="shared" si="48"/>
        <v>-789541.6799999997</v>
      </c>
      <c r="AB68" s="33">
        <f t="shared" ref="AB68:AB81" si="52">Z68/V68</f>
        <v>3.0558226953162678E-2</v>
      </c>
      <c r="AC68" s="34">
        <f t="shared" ref="AC68:AC81" si="53">AA68/W68</f>
        <v>-2.9938429438202314E-2</v>
      </c>
      <c r="AD68" s="26">
        <f t="shared" ref="AD68:AD81" si="54">Z68/Z$81</f>
        <v>-9.9219914303482107E-2</v>
      </c>
      <c r="AE68" s="18">
        <f t="shared" ref="AE68:AE81" si="55">AA68/AA$81</f>
        <v>-9.9219914303482107E-2</v>
      </c>
      <c r="AF68" s="10" t="str">
        <f t="shared" si="49"/>
        <v>Waipa District</v>
      </c>
      <c r="AG68" s="42">
        <f t="shared" ref="AG68:AG81" si="56">ROUND(T68,2)</f>
        <v>0.49</v>
      </c>
      <c r="AH68" s="18">
        <f t="shared" ref="AH68:AH81" si="57">ROUND(S68,2)</f>
        <v>0.51</v>
      </c>
      <c r="AI68" s="1"/>
      <c r="AJ68" s="1"/>
      <c r="AK68" s="1"/>
      <c r="AL68" s="1"/>
      <c r="AM68" s="1">
        <f>MIN(W35,Y35)</f>
        <v>2275200</v>
      </c>
      <c r="AN68" s="1">
        <f>Y35-AM68</f>
        <v>125188.74415074801</v>
      </c>
      <c r="AO68" s="1">
        <f>W35-AM68</f>
        <v>0</v>
      </c>
    </row>
    <row r="69" spans="1:41" x14ac:dyDescent="0.25">
      <c r="A69" s="94">
        <f t="shared" si="36"/>
        <v>67</v>
      </c>
      <c r="B69" s="95">
        <v>24</v>
      </c>
      <c r="C69">
        <f>MATCH(B69,Inputs!$A$4:$A$81,0)</f>
        <v>18</v>
      </c>
      <c r="D69" t="str">
        <f>INDEX(Inputs!$A$4:$S$81,Model!$C69,D$90)</f>
        <v>Tauranga City</v>
      </c>
      <c r="E69">
        <f>INDEX(Inputs!$A$4:$S$81,Model!$C69,E$90)</f>
        <v>52325</v>
      </c>
      <c r="F69">
        <f>INDEX(Inputs!$A$4:$S$81,Model!$C69,F$90)</f>
        <v>990.17989647494289</v>
      </c>
      <c r="G69">
        <f>INDEX(Inputs!$A$4:$S$81,Model!$C69,G$90)</f>
        <v>1.8312572748193582E-8</v>
      </c>
      <c r="H69" s="10">
        <f t="shared" si="37"/>
        <v>0.14400566749074092</v>
      </c>
      <c r="I69" s="14">
        <f t="shared" si="38"/>
        <v>-0.29341867502848251</v>
      </c>
      <c r="J69" s="14">
        <f t="shared" si="39"/>
        <v>-0.86208994229236746</v>
      </c>
      <c r="K69" s="10">
        <f t="shared" si="40"/>
        <v>6.3718746930927965</v>
      </c>
      <c r="L69" s="14">
        <f t="shared" si="41"/>
        <v>1.6741267772590169</v>
      </c>
      <c r="M69" s="14">
        <f t="shared" si="42"/>
        <v>2.4706664224376618E-2</v>
      </c>
      <c r="N69" s="14">
        <f t="shared" si="43"/>
        <v>8.07070813457619</v>
      </c>
      <c r="O69" s="14">
        <f t="shared" si="50"/>
        <v>0.42838510040419808</v>
      </c>
      <c r="P69" s="11">
        <f t="shared" si="51"/>
        <v>-1.0683593123628334</v>
      </c>
      <c r="S69" s="26">
        <f t="shared" si="44"/>
        <v>0.51</v>
      </c>
      <c r="T69" s="18">
        <f>INDEX(Inputs!R$4:R$81,Model!$C69)</f>
        <v>0.46654009407688257</v>
      </c>
      <c r="U69" s="10">
        <f>INDEX(Inputs!O$4:O$81,Model!$C69)</f>
        <v>61157001</v>
      </c>
      <c r="V69" s="14">
        <f>INDEX(Inputs!P$4:P$81,Model!$C69)</f>
        <v>28532193</v>
      </c>
      <c r="W69" s="11">
        <f>INDEX(Inputs!Q$4:Q$81,Model!$C69)</f>
        <v>32624808</v>
      </c>
      <c r="X69" s="10">
        <f t="shared" si="45"/>
        <v>31190070.510000002</v>
      </c>
      <c r="Y69" s="14">
        <f t="shared" si="46"/>
        <v>29966930.489999998</v>
      </c>
      <c r="Z69" s="14">
        <f t="shared" si="47"/>
        <v>2657877.5100000016</v>
      </c>
      <c r="AA69" s="11">
        <f t="shared" si="48"/>
        <v>-2657877.5100000016</v>
      </c>
      <c r="AB69" s="33">
        <f t="shared" si="52"/>
        <v>9.3153635614339272E-2</v>
      </c>
      <c r="AC69" s="34">
        <f t="shared" si="53"/>
        <v>-8.1467989328856794E-2</v>
      </c>
      <c r="AD69" s="26">
        <f t="shared" si="54"/>
        <v>-0.33400944554485418</v>
      </c>
      <c r="AE69" s="18">
        <f t="shared" si="55"/>
        <v>-0.33400944554485418</v>
      </c>
      <c r="AF69" s="10" t="str">
        <f t="shared" si="49"/>
        <v>Tauranga City</v>
      </c>
      <c r="AG69" s="42">
        <f t="shared" si="56"/>
        <v>0.47</v>
      </c>
      <c r="AH69" s="18">
        <f t="shared" si="57"/>
        <v>0.51</v>
      </c>
      <c r="AI69" s="1"/>
      <c r="AJ69" s="1">
        <f>MIN(V36,X36)</f>
        <v>61975668.507602736</v>
      </c>
      <c r="AK69" s="1">
        <f>X36-AJ69</f>
        <v>0</v>
      </c>
      <c r="AL69" s="1">
        <f>V36-AJ69</f>
        <v>494301.49239726365</v>
      </c>
      <c r="AM69" s="1"/>
      <c r="AN69" s="1"/>
      <c r="AO69" s="1"/>
    </row>
    <row r="70" spans="1:41" x14ac:dyDescent="0.25">
      <c r="A70" s="94">
        <f t="shared" si="36"/>
        <v>68</v>
      </c>
      <c r="B70" s="95">
        <v>61</v>
      </c>
      <c r="C70">
        <f>MATCH(B70,Inputs!$A$4:$A$81,0)</f>
        <v>54</v>
      </c>
      <c r="D70" t="str">
        <f>INDEX(Inputs!$A$4:$S$81,Model!$C70,D$90)</f>
        <v>Waimakariri District</v>
      </c>
      <c r="E70">
        <f>INDEX(Inputs!$A$4:$S$81,Model!$C70,E$90)</f>
        <v>23770</v>
      </c>
      <c r="F70">
        <f>INDEX(Inputs!$A$4:$S$81,Model!$C70,F$90)</f>
        <v>946.69026107988907</v>
      </c>
      <c r="G70">
        <f>INDEX(Inputs!$A$4:$S$81,Model!$C70,G$90)</f>
        <v>1.1472329536182191E-7</v>
      </c>
      <c r="H70" s="10">
        <f t="shared" si="37"/>
        <v>-0.24166146308422307</v>
      </c>
      <c r="I70" s="14">
        <f t="shared" si="38"/>
        <v>-1.3319331868165809</v>
      </c>
      <c r="J70" s="14">
        <f t="shared" si="39"/>
        <v>-0.33208845086766126</v>
      </c>
      <c r="K70" s="10">
        <f t="shared" si="40"/>
        <v>6.7575418236677605</v>
      </c>
      <c r="L70" s="14">
        <f t="shared" si="41"/>
        <v>0.63561226547091865</v>
      </c>
      <c r="M70" s="14">
        <f t="shared" si="42"/>
        <v>0.55470815564908282</v>
      </c>
      <c r="N70" s="14">
        <f t="shared" si="43"/>
        <v>7.9478622447877623</v>
      </c>
      <c r="O70" s="14">
        <f t="shared" si="50"/>
        <v>0.41989434015418065</v>
      </c>
      <c r="P70" s="11">
        <f t="shared" si="51"/>
        <v>-1.1912052021512611</v>
      </c>
      <c r="S70" s="26">
        <f t="shared" si="44"/>
        <v>0.51</v>
      </c>
      <c r="T70" s="18">
        <f>INDEX(Inputs!R$4:R$81,Model!$C70)</f>
        <v>0.5048559655148398</v>
      </c>
      <c r="U70" s="10">
        <f>INDEX(Inputs!O$4:O$81,Model!$C70)</f>
        <v>34746540</v>
      </c>
      <c r="V70" s="14">
        <f>INDEX(Inputs!P$4:P$81,Model!$C70)</f>
        <v>17541998</v>
      </c>
      <c r="W70" s="11">
        <f>INDEX(Inputs!Q$4:Q$81,Model!$C70)</f>
        <v>17204542</v>
      </c>
      <c r="X70" s="10">
        <f t="shared" si="45"/>
        <v>17720735.399999999</v>
      </c>
      <c r="Y70" s="14">
        <f t="shared" si="46"/>
        <v>17025804.600000001</v>
      </c>
      <c r="Z70" s="14">
        <f t="shared" si="47"/>
        <v>178737.39999999851</v>
      </c>
      <c r="AA70" s="11">
        <f t="shared" si="48"/>
        <v>-178737.39999999851</v>
      </c>
      <c r="AB70" s="33">
        <f t="shared" si="52"/>
        <v>1.0189113007537597E-2</v>
      </c>
      <c r="AC70" s="34">
        <f t="shared" si="53"/>
        <v>-1.0388965890518824E-2</v>
      </c>
      <c r="AD70" s="26">
        <f t="shared" si="54"/>
        <v>-2.2461524147562497E-2</v>
      </c>
      <c r="AE70" s="18">
        <f t="shared" si="55"/>
        <v>-2.2461524147562497E-2</v>
      </c>
      <c r="AF70" s="10" t="str">
        <f t="shared" si="49"/>
        <v>Waimakariri District</v>
      </c>
      <c r="AG70" s="42">
        <f t="shared" si="56"/>
        <v>0.5</v>
      </c>
      <c r="AH70" s="18">
        <f t="shared" si="57"/>
        <v>0.51</v>
      </c>
      <c r="AI70" s="1"/>
      <c r="AJ70" s="1"/>
      <c r="AK70" s="1"/>
      <c r="AL70" s="1"/>
      <c r="AM70" s="1">
        <f>MIN(W36,Y36)</f>
        <v>54421838</v>
      </c>
      <c r="AN70" s="1">
        <f>Y36-AM70</f>
        <v>494301.49239726365</v>
      </c>
      <c r="AO70" s="1">
        <f>W36-AM70</f>
        <v>0</v>
      </c>
    </row>
    <row r="71" spans="1:41" x14ac:dyDescent="0.25">
      <c r="A71" s="94">
        <f t="shared" si="36"/>
        <v>69</v>
      </c>
      <c r="B71" s="95">
        <v>93</v>
      </c>
      <c r="C71">
        <f>MATCH(B71,Inputs!$A$4:$A$81,0)</f>
        <v>77</v>
      </c>
      <c r="D71" t="str">
        <f>INDEX(Inputs!$A$4:$S$81,Model!$C71,D$90)</f>
        <v>Otago Regional</v>
      </c>
      <c r="E71">
        <f>INDEX(Inputs!$A$4:$S$81,Model!$C71,E$90)</f>
        <v>101455</v>
      </c>
      <c r="F71">
        <f>INDEX(Inputs!$A$4:$S$81,Model!$C71,F$90)</f>
        <v>976.16263883175645</v>
      </c>
      <c r="G71">
        <f>INDEX(Inputs!$A$4:$S$81,Model!$C71,G$90)</f>
        <v>1.7467859836254974E-7</v>
      </c>
      <c r="H71" s="10">
        <f t="shared" si="37"/>
        <v>0.80756112625971244</v>
      </c>
      <c r="I71" s="14">
        <f t="shared" si="38"/>
        <v>-0.62814499190115447</v>
      </c>
      <c r="J71" s="14">
        <f t="shared" si="39"/>
        <v>-2.4944062658827158E-3</v>
      </c>
      <c r="K71" s="10">
        <f t="shared" si="40"/>
        <v>5.7083192343238247</v>
      </c>
      <c r="L71" s="14">
        <f t="shared" si="41"/>
        <v>1.339400460386345</v>
      </c>
      <c r="M71" s="14">
        <f t="shared" si="42"/>
        <v>0.88430220025086137</v>
      </c>
      <c r="N71" s="14">
        <f t="shared" si="43"/>
        <v>7.9320218949610304</v>
      </c>
      <c r="O71" s="14">
        <f t="shared" si="50"/>
        <v>0.41879950000212657</v>
      </c>
      <c r="P71" s="11">
        <f t="shared" si="51"/>
        <v>-1.207045551977993</v>
      </c>
      <c r="S71" s="26">
        <f t="shared" si="44"/>
        <v>0.51</v>
      </c>
      <c r="T71" s="18">
        <f>INDEX(Inputs!R$4:R$81,Model!$C71)</f>
        <v>0.54292842629470273</v>
      </c>
      <c r="U71" s="10">
        <f>INDEX(Inputs!O$4:O$81,Model!$C71)</f>
        <v>30385740</v>
      </c>
      <c r="V71" s="14">
        <f>INDEX(Inputs!P$4:P$81,Model!$C71)</f>
        <v>16497282</v>
      </c>
      <c r="W71" s="11">
        <f>INDEX(Inputs!Q$4:Q$81,Model!$C71)</f>
        <v>13888458</v>
      </c>
      <c r="X71" s="10">
        <f t="shared" si="45"/>
        <v>15496727.4</v>
      </c>
      <c r="Y71" s="14">
        <f t="shared" si="46"/>
        <v>14889012.6</v>
      </c>
      <c r="Z71" s="14">
        <f t="shared" si="47"/>
        <v>-1000554.5999999996</v>
      </c>
      <c r="AA71" s="11">
        <f t="shared" si="48"/>
        <v>1000554.5999999996</v>
      </c>
      <c r="AB71" s="33">
        <f t="shared" si="52"/>
        <v>-6.0649663380913273E-2</v>
      </c>
      <c r="AC71" s="34">
        <f t="shared" si="53"/>
        <v>7.2042166236165286E-2</v>
      </c>
      <c r="AD71" s="26">
        <f t="shared" si="54"/>
        <v>0.12573742993271086</v>
      </c>
      <c r="AE71" s="18">
        <f t="shared" si="55"/>
        <v>0.12573742993271086</v>
      </c>
      <c r="AF71" s="10" t="str">
        <f t="shared" si="49"/>
        <v>Otago Regional</v>
      </c>
      <c r="AG71" s="42">
        <f t="shared" si="56"/>
        <v>0.54</v>
      </c>
      <c r="AH71" s="18">
        <f t="shared" si="57"/>
        <v>0.51</v>
      </c>
      <c r="AI71" s="1"/>
      <c r="AJ71" s="1">
        <f>MIN(V37,X37)</f>
        <v>21774355.507842567</v>
      </c>
      <c r="AK71" s="1">
        <f>X37-AJ71</f>
        <v>0</v>
      </c>
      <c r="AL71" s="1">
        <f>V37-AJ71</f>
        <v>111592.49215743318</v>
      </c>
      <c r="AM71" s="1"/>
      <c r="AN71" s="1"/>
      <c r="AO71" s="1"/>
    </row>
    <row r="72" spans="1:41" x14ac:dyDescent="0.25">
      <c r="A72" s="94">
        <f t="shared" si="36"/>
        <v>70</v>
      </c>
      <c r="B72" s="95">
        <v>43</v>
      </c>
      <c r="C72">
        <f>MATCH(B72,Inputs!$A$4:$A$81,0)</f>
        <v>37</v>
      </c>
      <c r="D72" t="str">
        <f>INDEX(Inputs!$A$4:$S$81,Model!$C72,D$90)</f>
        <v>Kapiti Coast District</v>
      </c>
      <c r="E72">
        <f>INDEX(Inputs!$A$4:$S$81,Model!$C72,E$90)</f>
        <v>24357</v>
      </c>
      <c r="F72">
        <f>INDEX(Inputs!$A$4:$S$81,Model!$C72,F$90)</f>
        <v>959.55491178959699</v>
      </c>
      <c r="G72">
        <f>INDEX(Inputs!$A$4:$S$81,Model!$C72,G$90)</f>
        <v>3.7237892154753731E-8</v>
      </c>
      <c r="H72" s="10">
        <f t="shared" si="37"/>
        <v>-0.23373337323489707</v>
      </c>
      <c r="I72" s="14">
        <f t="shared" si="38"/>
        <v>-1.0247306469526525</v>
      </c>
      <c r="J72" s="14">
        <f t="shared" si="39"/>
        <v>-0.75805122917781675</v>
      </c>
      <c r="K72" s="10">
        <f t="shared" si="40"/>
        <v>6.7496137338184345</v>
      </c>
      <c r="L72" s="14">
        <f t="shared" si="41"/>
        <v>0.94281480533484707</v>
      </c>
      <c r="M72" s="14">
        <f t="shared" si="42"/>
        <v>0.12874537733892732</v>
      </c>
      <c r="N72" s="14">
        <f t="shared" si="43"/>
        <v>7.8211739164922092</v>
      </c>
      <c r="O72" s="14">
        <f t="shared" si="50"/>
        <v>0.41113800142859819</v>
      </c>
      <c r="P72" s="11">
        <f t="shared" si="51"/>
        <v>-1.3178935304468142</v>
      </c>
      <c r="S72" s="26">
        <f t="shared" si="44"/>
        <v>0.51</v>
      </c>
      <c r="T72" s="18">
        <f>INDEX(Inputs!R$4:R$81,Model!$C72)</f>
        <v>0.45846883110161596</v>
      </c>
      <c r="U72" s="10">
        <f>INDEX(Inputs!O$4:O$81,Model!$C72)</f>
        <v>23301786</v>
      </c>
      <c r="V72" s="14">
        <f>INDEX(Inputs!P$4:P$81,Model!$C72)</f>
        <v>10683142.59</v>
      </c>
      <c r="W72" s="11">
        <f>INDEX(Inputs!Q$4:Q$81,Model!$C72)</f>
        <v>12618643.41</v>
      </c>
      <c r="X72" s="10">
        <f t="shared" si="45"/>
        <v>11883910.859999999</v>
      </c>
      <c r="Y72" s="14">
        <f t="shared" si="46"/>
        <v>11417875.140000001</v>
      </c>
      <c r="Z72" s="14">
        <f t="shared" si="47"/>
        <v>1200768.2699999996</v>
      </c>
      <c r="AA72" s="11">
        <f t="shared" si="48"/>
        <v>-1200768.2699999996</v>
      </c>
      <c r="AB72" s="33">
        <f t="shared" si="52"/>
        <v>0.11239841272211266</v>
      </c>
      <c r="AC72" s="34">
        <f t="shared" si="53"/>
        <v>-9.5158269473596249E-2</v>
      </c>
      <c r="AD72" s="26">
        <f t="shared" si="54"/>
        <v>-0.1508978282789839</v>
      </c>
      <c r="AE72" s="18">
        <f t="shared" si="55"/>
        <v>-0.1508978282789839</v>
      </c>
      <c r="AF72" s="10" t="str">
        <f t="shared" si="49"/>
        <v>Kapiti Coast District</v>
      </c>
      <c r="AG72" s="42">
        <f t="shared" si="56"/>
        <v>0.46</v>
      </c>
      <c r="AH72" s="18">
        <f t="shared" si="57"/>
        <v>0.51</v>
      </c>
      <c r="AI72" s="1"/>
      <c r="AJ72" s="1"/>
      <c r="AK72" s="1"/>
      <c r="AL72" s="1"/>
      <c r="AM72" s="1">
        <f>MIN(W37,Y37)</f>
        <v>19392586</v>
      </c>
      <c r="AN72" s="1">
        <f>Y37-AM72</f>
        <v>111592.49215743318</v>
      </c>
      <c r="AO72" s="1">
        <f>W37-AM72</f>
        <v>0</v>
      </c>
    </row>
    <row r="73" spans="1:41" x14ac:dyDescent="0.25">
      <c r="A73" s="94">
        <f t="shared" si="36"/>
        <v>71</v>
      </c>
      <c r="B73" s="95">
        <v>59</v>
      </c>
      <c r="C73">
        <f>MATCH(B73,Inputs!$A$4:$A$81,0)</f>
        <v>52</v>
      </c>
      <c r="D73" t="str">
        <f>INDEX(Inputs!$A$4:$S$81,Model!$C73,D$90)</f>
        <v>Selwyn District</v>
      </c>
      <c r="E73">
        <f>INDEX(Inputs!$A$4:$S$81,Model!$C73,E$90)</f>
        <v>21470</v>
      </c>
      <c r="F73">
        <f>INDEX(Inputs!$A$4:$S$81,Model!$C73,F$90)</f>
        <v>920.07287117903934</v>
      </c>
      <c r="G73">
        <f>INDEX(Inputs!$A$4:$S$81,Model!$C73,G$90)</f>
        <v>1.424732220119907E-7</v>
      </c>
      <c r="H73" s="10">
        <f t="shared" si="37"/>
        <v>-0.27272552893337093</v>
      </c>
      <c r="I73" s="14">
        <f t="shared" si="38"/>
        <v>-1.9675454522874996</v>
      </c>
      <c r="J73" s="14">
        <f t="shared" si="39"/>
        <v>-0.17953796568504474</v>
      </c>
      <c r="K73" s="10">
        <f t="shared" si="40"/>
        <v>6.7886058895169086</v>
      </c>
      <c r="L73" s="14">
        <f t="shared" si="41"/>
        <v>0</v>
      </c>
      <c r="M73" s="14">
        <f t="shared" si="42"/>
        <v>0.70725864083169931</v>
      </c>
      <c r="N73" s="14">
        <f t="shared" si="43"/>
        <v>7.4958645303486078</v>
      </c>
      <c r="O73" s="14">
        <f t="shared" si="50"/>
        <v>0.38865353727938856</v>
      </c>
      <c r="P73" s="11">
        <f t="shared" si="51"/>
        <v>-1.6432029165904156</v>
      </c>
      <c r="S73" s="26">
        <f t="shared" si="44"/>
        <v>0.51</v>
      </c>
      <c r="T73" s="18">
        <f>INDEX(Inputs!R$4:R$81,Model!$C73)</f>
        <v>0.50018048375249302</v>
      </c>
      <c r="U73" s="10">
        <f>INDEX(Inputs!O$4:O$81,Model!$C73)</f>
        <v>38546406</v>
      </c>
      <c r="V73" s="14">
        <f>INDEX(Inputs!P$4:P$81,Model!$C73)</f>
        <v>19280160</v>
      </c>
      <c r="W73" s="11">
        <f>INDEX(Inputs!Q$4:Q$81,Model!$C73)</f>
        <v>19266246</v>
      </c>
      <c r="X73" s="10">
        <f t="shared" si="45"/>
        <v>19658667.059999999</v>
      </c>
      <c r="Y73" s="14">
        <f t="shared" si="46"/>
        <v>18887738.940000001</v>
      </c>
      <c r="Z73" s="14">
        <f t="shared" si="47"/>
        <v>378507.05999999866</v>
      </c>
      <c r="AA73" s="11">
        <f t="shared" si="48"/>
        <v>-378507.05999999866</v>
      </c>
      <c r="AB73" s="33">
        <f t="shared" si="52"/>
        <v>1.9631946000448059E-2</v>
      </c>
      <c r="AC73" s="34">
        <f t="shared" si="53"/>
        <v>-1.9646124107415563E-2</v>
      </c>
      <c r="AD73" s="26">
        <f t="shared" si="54"/>
        <v>-4.7566124762992677E-2</v>
      </c>
      <c r="AE73" s="18">
        <f t="shared" si="55"/>
        <v>-4.7566124762992677E-2</v>
      </c>
      <c r="AF73" s="10" t="str">
        <f t="shared" si="49"/>
        <v>Selwyn District</v>
      </c>
      <c r="AG73" s="42">
        <f t="shared" si="56"/>
        <v>0.5</v>
      </c>
      <c r="AH73" s="18">
        <f t="shared" si="57"/>
        <v>0.51</v>
      </c>
      <c r="AI73" s="1"/>
      <c r="AJ73" s="1">
        <f>MIN(V38,X38)</f>
        <v>5757384.5989510631</v>
      </c>
      <c r="AK73" s="1">
        <f>X38-AJ73</f>
        <v>0</v>
      </c>
      <c r="AL73" s="1">
        <f>V38-AJ73</f>
        <v>83397.401048936881</v>
      </c>
      <c r="AM73" s="1"/>
      <c r="AN73" s="1"/>
      <c r="AO73" s="1"/>
    </row>
    <row r="74" spans="1:41" x14ac:dyDescent="0.25">
      <c r="A74" s="94">
        <f t="shared" si="36"/>
        <v>72</v>
      </c>
      <c r="B74" s="95">
        <v>69</v>
      </c>
      <c r="C74">
        <f>MATCH(B74,Inputs!$A$4:$A$81,0)</f>
        <v>62</v>
      </c>
      <c r="D74" t="str">
        <f>INDEX(Inputs!$A$4:$S$81,Model!$C74,D$90)</f>
        <v>Queenstown-Lakes District</v>
      </c>
      <c r="E74">
        <f>INDEX(Inputs!$A$4:$S$81,Model!$C74,E$90)</f>
        <v>22383</v>
      </c>
      <c r="F74">
        <f>INDEX(Inputs!$A$4:$S$81,Model!$C74,F$90)</f>
        <v>926.50854979767655</v>
      </c>
      <c r="G74">
        <f>INDEX(Inputs!$A$4:$S$81,Model!$C74,G$90)</f>
        <v>4.4876844356997999E-8</v>
      </c>
      <c r="H74" s="10">
        <f t="shared" si="37"/>
        <v>-0.26039444540281792</v>
      </c>
      <c r="I74" s="14">
        <f t="shared" si="38"/>
        <v>-1.8138641078028488</v>
      </c>
      <c r="J74" s="14">
        <f t="shared" si="39"/>
        <v>-0.71605739332268326</v>
      </c>
      <c r="K74" s="10">
        <f t="shared" si="40"/>
        <v>6.7762748059863549</v>
      </c>
      <c r="L74" s="14">
        <f t="shared" si="41"/>
        <v>0.15368134448465076</v>
      </c>
      <c r="M74" s="14">
        <f t="shared" si="42"/>
        <v>0.17073921319406082</v>
      </c>
      <c r="N74" s="14">
        <f t="shared" si="43"/>
        <v>7.100695363665066</v>
      </c>
      <c r="O74" s="14">
        <f t="shared" si="50"/>
        <v>0.36134056280146515</v>
      </c>
      <c r="P74" s="11">
        <f t="shared" si="51"/>
        <v>-2.0383720832739574</v>
      </c>
      <c r="S74" s="26">
        <f t="shared" si="44"/>
        <v>0.51</v>
      </c>
      <c r="T74" s="18">
        <f>INDEX(Inputs!R$4:R$81,Model!$C74)</f>
        <v>0.56114499155023734</v>
      </c>
      <c r="U74" s="10">
        <f>INDEX(Inputs!O$4:O$81,Model!$C74)</f>
        <v>76778488</v>
      </c>
      <c r="V74" s="14">
        <f>INDEX(Inputs!P$4:P$81,Model!$C74)</f>
        <v>43083864</v>
      </c>
      <c r="W74" s="11">
        <f>INDEX(Inputs!Q$4:Q$81,Model!$C74)</f>
        <v>33694624</v>
      </c>
      <c r="X74" s="10">
        <f t="shared" si="45"/>
        <v>39157028.880000003</v>
      </c>
      <c r="Y74" s="14">
        <f t="shared" si="46"/>
        <v>37621459.119999997</v>
      </c>
      <c r="Z74" s="14">
        <f t="shared" si="47"/>
        <v>-3926835.1199999973</v>
      </c>
      <c r="AA74" s="11">
        <f t="shared" si="48"/>
        <v>3926835.1199999973</v>
      </c>
      <c r="AB74" s="33">
        <f t="shared" si="52"/>
        <v>-9.1143986528227763E-2</v>
      </c>
      <c r="AC74" s="34">
        <f t="shared" si="53"/>
        <v>0.11654188870010829</v>
      </c>
      <c r="AD74" s="26">
        <f t="shared" si="54"/>
        <v>0.49347647370599074</v>
      </c>
      <c r="AE74" s="18">
        <f t="shared" si="55"/>
        <v>0.49347647370599074</v>
      </c>
      <c r="AF74" s="10" t="str">
        <f t="shared" si="49"/>
        <v>Queenstown-Lakes District</v>
      </c>
      <c r="AG74" s="42">
        <f t="shared" si="56"/>
        <v>0.56000000000000005</v>
      </c>
      <c r="AH74" s="18">
        <f t="shared" si="57"/>
        <v>0.51</v>
      </c>
      <c r="AI74" s="1"/>
      <c r="AJ74" s="1"/>
      <c r="AK74" s="1"/>
      <c r="AL74" s="1"/>
      <c r="AM74" s="1">
        <f>MIN(W38,Y38)</f>
        <v>5120900</v>
      </c>
      <c r="AN74" s="1">
        <f>Y38-AM74</f>
        <v>83397.401048936881</v>
      </c>
      <c r="AO74" s="1">
        <f>W38-AM74</f>
        <v>0</v>
      </c>
    </row>
    <row r="75" spans="1:41" x14ac:dyDescent="0.25">
      <c r="A75" s="94">
        <f t="shared" si="36"/>
        <v>73</v>
      </c>
      <c r="B75" s="95">
        <v>49</v>
      </c>
      <c r="C75">
        <f>MATCH(B75,Inputs!$A$4:$A$81,0)</f>
        <v>43</v>
      </c>
      <c r="D75" t="str">
        <f>INDEX(Inputs!$A$4:$S$81,Model!$C75,D$90)</f>
        <v>Wellington City</v>
      </c>
      <c r="E75">
        <f>INDEX(Inputs!$A$4:$S$81,Model!$C75,E$90)</f>
        <v>76166</v>
      </c>
      <c r="F75">
        <f>INDEX(Inputs!$A$4:$S$81,Model!$C75,F$90)</f>
        <v>962.11787212002741</v>
      </c>
      <c r="G75">
        <f>INDEX(Inputs!$A$4:$S$81,Model!$C75,G$90)</f>
        <v>1.3818269638137488E-8</v>
      </c>
      <c r="H75" s="10">
        <f t="shared" si="37"/>
        <v>0.46600496919053841</v>
      </c>
      <c r="I75" s="14">
        <f t="shared" si="38"/>
        <v>-0.96352821395658428</v>
      </c>
      <c r="J75" s="14">
        <f t="shared" si="39"/>
        <v>-0.88679660651674408</v>
      </c>
      <c r="K75" s="10">
        <f t="shared" si="40"/>
        <v>6.049875391392999</v>
      </c>
      <c r="L75" s="14">
        <f t="shared" si="41"/>
        <v>1.0040172383309152</v>
      </c>
      <c r="M75" s="14">
        <f t="shared" si="42"/>
        <v>0</v>
      </c>
      <c r="N75" s="14">
        <f t="shared" si="43"/>
        <v>7.0538926297239142</v>
      </c>
      <c r="O75" s="14">
        <f t="shared" si="50"/>
        <v>0.35810569028253847</v>
      </c>
      <c r="P75" s="11">
        <f t="shared" si="51"/>
        <v>-2.0851748172151092</v>
      </c>
      <c r="S75" s="26">
        <f t="shared" si="44"/>
        <v>0.51</v>
      </c>
      <c r="T75" s="18">
        <f>INDEX(Inputs!R$4:R$81,Model!$C75)</f>
        <v>0.46076803469564231</v>
      </c>
      <c r="U75" s="10">
        <f>INDEX(Inputs!O$4:O$81,Model!$C75)</f>
        <v>134021211</v>
      </c>
      <c r="V75" s="14">
        <f>INDEX(Inputs!P$4:P$81,Model!$C75)</f>
        <v>61752690</v>
      </c>
      <c r="W75" s="11">
        <f>INDEX(Inputs!Q$4:Q$81,Model!$C75)</f>
        <v>72268521</v>
      </c>
      <c r="X75" s="10">
        <f t="shared" si="45"/>
        <v>68350817.609999999</v>
      </c>
      <c r="Y75" s="14">
        <f t="shared" si="46"/>
        <v>65670393.390000001</v>
      </c>
      <c r="Z75" s="14">
        <f t="shared" si="47"/>
        <v>6598127.6099999994</v>
      </c>
      <c r="AA75" s="11">
        <f t="shared" si="48"/>
        <v>-6598127.6099999994</v>
      </c>
      <c r="AB75" s="33">
        <f t="shared" si="52"/>
        <v>0.1068476144116151</v>
      </c>
      <c r="AC75" s="34">
        <f t="shared" si="53"/>
        <v>-9.1300161103338467E-2</v>
      </c>
      <c r="AD75" s="26">
        <f t="shared" si="54"/>
        <v>-0.82917174939724447</v>
      </c>
      <c r="AE75" s="18">
        <f t="shared" si="55"/>
        <v>-0.82917174939724447</v>
      </c>
      <c r="AF75" s="10" t="str">
        <f t="shared" si="49"/>
        <v>Wellington City</v>
      </c>
      <c r="AG75" s="42">
        <f t="shared" si="56"/>
        <v>0.46</v>
      </c>
      <c r="AH75" s="18">
        <f t="shared" si="57"/>
        <v>0.51</v>
      </c>
      <c r="AI75" s="1"/>
      <c r="AJ75" s="1">
        <f>MIN(V39,X39)</f>
        <v>7695597.7053867253</v>
      </c>
      <c r="AK75" s="1">
        <f>X39-AJ75</f>
        <v>0</v>
      </c>
      <c r="AL75" s="1">
        <f>V39-AJ75</f>
        <v>1166251.2946132747</v>
      </c>
      <c r="AM75" s="1"/>
      <c r="AN75" s="1"/>
      <c r="AO75" s="1"/>
    </row>
    <row r="76" spans="1:41" x14ac:dyDescent="0.25">
      <c r="A76" s="94">
        <f t="shared" si="36"/>
        <v>74</v>
      </c>
      <c r="B76" s="95">
        <v>83</v>
      </c>
      <c r="C76">
        <f>MATCH(B76,Inputs!$A$4:$A$81,0)</f>
        <v>69</v>
      </c>
      <c r="D76" t="str">
        <f>INDEX(Inputs!$A$4:$S$81,Model!$C76,D$90)</f>
        <v>Waikato Regional</v>
      </c>
      <c r="E76">
        <f>INDEX(Inputs!$A$4:$S$81,Model!$C76,E$90)</f>
        <v>231837</v>
      </c>
      <c r="F76">
        <f>INDEX(Inputs!$A$4:$S$81,Model!$C76,F$90)</f>
        <v>1011.5041228877816</v>
      </c>
      <c r="G76">
        <f>INDEX(Inputs!$A$4:$S$81,Model!$C76,G$90)</f>
        <v>7.6272221358438857E-8</v>
      </c>
      <c r="H76" s="10">
        <f t="shared" si="37"/>
        <v>2.5685154886699717</v>
      </c>
      <c r="I76" s="14">
        <f t="shared" si="38"/>
        <v>0.21579503488702331</v>
      </c>
      <c r="J76" s="14">
        <f t="shared" si="39"/>
        <v>-0.54346666706821112</v>
      </c>
      <c r="K76" s="10">
        <f t="shared" si="40"/>
        <v>3.9473648719135657</v>
      </c>
      <c r="L76" s="14">
        <f t="shared" si="41"/>
        <v>2.1833404871745228</v>
      </c>
      <c r="M76" s="14">
        <f t="shared" si="42"/>
        <v>0.34332993944853296</v>
      </c>
      <c r="N76" s="14">
        <f t="shared" si="43"/>
        <v>6.474035298536621</v>
      </c>
      <c r="O76" s="14">
        <f t="shared" si="50"/>
        <v>0.31802759253905133</v>
      </c>
      <c r="P76" s="11">
        <f t="shared" si="51"/>
        <v>-2.6650321484024024</v>
      </c>
      <c r="S76" s="26">
        <f t="shared" si="44"/>
        <v>0.51</v>
      </c>
      <c r="T76" s="18">
        <f>INDEX(Inputs!R$4:R$81,Model!$C76)</f>
        <v>0.53058856968296952</v>
      </c>
      <c r="U76" s="10">
        <f>INDEX(Inputs!O$4:O$81,Model!$C76)</f>
        <v>70024147</v>
      </c>
      <c r="V76" s="14">
        <f>INDEX(Inputs!P$4:P$81,Model!$C76)</f>
        <v>37154012</v>
      </c>
      <c r="W76" s="11">
        <f>INDEX(Inputs!Q$4:Q$81,Model!$C76)</f>
        <v>32870135</v>
      </c>
      <c r="X76" s="10">
        <f t="shared" si="45"/>
        <v>35712314.969999999</v>
      </c>
      <c r="Y76" s="14">
        <f t="shared" si="46"/>
        <v>34311832.030000001</v>
      </c>
      <c r="Z76" s="14">
        <f t="shared" si="47"/>
        <v>-1441697.0300000012</v>
      </c>
      <c r="AA76" s="11">
        <f t="shared" si="48"/>
        <v>1441697.0300000012</v>
      </c>
      <c r="AB76" s="33">
        <f t="shared" si="52"/>
        <v>-3.8803266522064998E-2</v>
      </c>
      <c r="AC76" s="34">
        <f t="shared" si="53"/>
        <v>4.3860392724276949E-2</v>
      </c>
      <c r="AD76" s="26">
        <f t="shared" si="54"/>
        <v>0.18117479974988129</v>
      </c>
      <c r="AE76" s="18">
        <f t="shared" si="55"/>
        <v>0.18117479974988129</v>
      </c>
      <c r="AF76" s="10" t="str">
        <f t="shared" si="49"/>
        <v>Waikato Regional</v>
      </c>
      <c r="AG76" s="42">
        <f t="shared" si="56"/>
        <v>0.53</v>
      </c>
      <c r="AH76" s="18">
        <f t="shared" si="57"/>
        <v>0.51</v>
      </c>
      <c r="AI76" s="1"/>
      <c r="AJ76" s="1"/>
      <c r="AK76" s="1"/>
      <c r="AL76" s="1"/>
      <c r="AM76" s="1">
        <f>MIN(W39,Y39)</f>
        <v>5875218</v>
      </c>
      <c r="AN76" s="1">
        <f>Y39-AM76</f>
        <v>1166251.2946132747</v>
      </c>
      <c r="AO76" s="1">
        <f>W39-AM76</f>
        <v>0</v>
      </c>
    </row>
    <row r="77" spans="1:41" x14ac:dyDescent="0.25">
      <c r="A77" s="94">
        <f t="shared" si="36"/>
        <v>75</v>
      </c>
      <c r="B77" s="95">
        <v>56</v>
      </c>
      <c r="C77">
        <f>MATCH(B77,Inputs!$A$4:$A$81,0)</f>
        <v>49</v>
      </c>
      <c r="D77" t="str">
        <f>INDEX(Inputs!$A$4:$S$81,Model!$C77,D$90)</f>
        <v>Christchurch City</v>
      </c>
      <c r="E77">
        <f>INDEX(Inputs!$A$4:$S$81,Model!$C77,E$90)</f>
        <v>165260</v>
      </c>
      <c r="F77">
        <f>INDEX(Inputs!$A$4:$S$81,Model!$C77,F$90)</f>
        <v>985.0772864148671</v>
      </c>
      <c r="G77">
        <f>INDEX(Inputs!$A$4:$S$81,Model!$C77,G$90)</f>
        <v>2.5597665193372557E-8</v>
      </c>
      <c r="H77" s="10">
        <f t="shared" si="37"/>
        <v>1.6693188312618339</v>
      </c>
      <c r="I77" s="14">
        <f t="shared" si="38"/>
        <v>-0.41526689351199114</v>
      </c>
      <c r="J77" s="14">
        <f t="shared" si="39"/>
        <v>-0.82204139005212196</v>
      </c>
      <c r="K77" s="10">
        <f t="shared" si="40"/>
        <v>4.8465615293217033</v>
      </c>
      <c r="L77" s="14">
        <f t="shared" si="41"/>
        <v>1.5522785587755084</v>
      </c>
      <c r="M77" s="14">
        <f t="shared" si="42"/>
        <v>6.4755216464622123E-2</v>
      </c>
      <c r="N77" s="14">
        <f t="shared" si="43"/>
        <v>6.4635953045618333</v>
      </c>
      <c r="O77" s="14">
        <f t="shared" si="50"/>
        <v>0.31730600970055178</v>
      </c>
      <c r="P77" s="11">
        <f t="shared" si="51"/>
        <v>-2.6754721423771901</v>
      </c>
      <c r="S77" s="26">
        <f t="shared" si="44"/>
        <v>0.51</v>
      </c>
      <c r="T77" s="18">
        <f>INDEX(Inputs!R$4:R$81,Model!$C77)</f>
        <v>0.47031550721981613</v>
      </c>
      <c r="U77" s="10">
        <f>INDEX(Inputs!O$4:O$81,Model!$C77)</f>
        <v>182535189</v>
      </c>
      <c r="V77" s="14">
        <f>INDEX(Inputs!P$4:P$81,Model!$C77)</f>
        <v>85849130</v>
      </c>
      <c r="W77" s="11">
        <f>INDEX(Inputs!Q$4:Q$81,Model!$C77)</f>
        <v>96686059</v>
      </c>
      <c r="X77" s="10">
        <f t="shared" si="45"/>
        <v>93092946.390000001</v>
      </c>
      <c r="Y77" s="14">
        <f t="shared" si="46"/>
        <v>89442242.609999999</v>
      </c>
      <c r="Z77" s="14">
        <f t="shared" si="47"/>
        <v>7243816.3900000006</v>
      </c>
      <c r="AA77" s="11">
        <f t="shared" si="48"/>
        <v>-7243816.3900000006</v>
      </c>
      <c r="AB77" s="33">
        <f t="shared" si="52"/>
        <v>8.4378448447875953E-2</v>
      </c>
      <c r="AC77" s="34">
        <f t="shared" si="53"/>
        <v>-7.4921001692705255E-2</v>
      </c>
      <c r="AD77" s="26">
        <f t="shared" si="54"/>
        <v>-0.91031399564106541</v>
      </c>
      <c r="AE77" s="18">
        <f t="shared" si="55"/>
        <v>-0.91031399564106541</v>
      </c>
      <c r="AF77" s="10" t="str">
        <f t="shared" si="49"/>
        <v>Christchurch City</v>
      </c>
      <c r="AG77" s="42">
        <f t="shared" si="56"/>
        <v>0.47</v>
      </c>
      <c r="AH77" s="18">
        <f t="shared" si="57"/>
        <v>0.51</v>
      </c>
      <c r="AI77" s="1"/>
      <c r="AJ77" s="1">
        <f>MIN(V40,X40)</f>
        <v>59009524.575145401</v>
      </c>
      <c r="AK77" s="1">
        <f>X40-AJ77</f>
        <v>0</v>
      </c>
      <c r="AL77" s="1">
        <f>V40-AJ77</f>
        <v>1299166.2848545983</v>
      </c>
      <c r="AM77" s="1"/>
      <c r="AN77" s="1"/>
      <c r="AO77" s="1"/>
    </row>
    <row r="78" spans="1:41" x14ac:dyDescent="0.25">
      <c r="A78" s="94">
        <f t="shared" si="36"/>
        <v>76</v>
      </c>
      <c r="B78" s="95">
        <v>89</v>
      </c>
      <c r="C78">
        <f>MATCH(B78,Inputs!$A$4:$A$81,0)</f>
        <v>74</v>
      </c>
      <c r="D78" t="str">
        <f>INDEX(Inputs!$A$4:$S$81,Model!$C78,D$90)</f>
        <v>Wellington Regional</v>
      </c>
      <c r="E78">
        <f>INDEX(Inputs!$A$4:$S$81,Model!$C78,E$90)</f>
        <v>197823</v>
      </c>
      <c r="F78">
        <f>INDEX(Inputs!$A$4:$S$81,Model!$C78,F$90)</f>
        <v>984.14695122359035</v>
      </c>
      <c r="G78">
        <f>INDEX(Inputs!$A$4:$S$81,Model!$C78,G$90)</f>
        <v>3.8602245089555568E-8</v>
      </c>
      <c r="H78" s="10">
        <f t="shared" si="37"/>
        <v>2.1091184731078347</v>
      </c>
      <c r="I78" s="14">
        <f t="shared" si="38"/>
        <v>-0.43748291321856125</v>
      </c>
      <c r="J78" s="14">
        <f t="shared" si="39"/>
        <v>-0.75055093179728005</v>
      </c>
      <c r="K78" s="10">
        <f t="shared" si="40"/>
        <v>4.4067618874757031</v>
      </c>
      <c r="L78" s="14">
        <f t="shared" si="41"/>
        <v>1.5300625390689384</v>
      </c>
      <c r="M78" s="14">
        <f t="shared" si="42"/>
        <v>0.13624567471946403</v>
      </c>
      <c r="N78" s="14">
        <f t="shared" si="43"/>
        <v>6.0730701012641051</v>
      </c>
      <c r="O78" s="14">
        <f t="shared" si="50"/>
        <v>0.29031401282950392</v>
      </c>
      <c r="P78" s="11">
        <f t="shared" si="51"/>
        <v>-3.0659973456749183</v>
      </c>
      <c r="S78" s="26">
        <f t="shared" si="44"/>
        <v>0.51</v>
      </c>
      <c r="T78" s="18">
        <f>INDEX(Inputs!R$4:R$81,Model!$C78)</f>
        <v>0.5559013418976998</v>
      </c>
      <c r="U78" s="10">
        <f>INDEX(Inputs!O$4:O$81,Model!$C78)</f>
        <v>365115314</v>
      </c>
      <c r="V78" s="14">
        <f>INDEX(Inputs!P$4:P$81,Model!$C78)</f>
        <v>202968093</v>
      </c>
      <c r="W78" s="11">
        <f>INDEX(Inputs!Q$4:Q$81,Model!$C78)</f>
        <v>162147221</v>
      </c>
      <c r="X78" s="10">
        <f t="shared" si="45"/>
        <v>186208810.14000002</v>
      </c>
      <c r="Y78" s="14">
        <f t="shared" si="46"/>
        <v>178906503.85999998</v>
      </c>
      <c r="Z78" s="14">
        <f t="shared" si="47"/>
        <v>-16759282.859999985</v>
      </c>
      <c r="AA78" s="11">
        <f t="shared" si="48"/>
        <v>16759282.859999985</v>
      </c>
      <c r="AB78" s="33">
        <f t="shared" si="52"/>
        <v>-8.2571021938901423E-2</v>
      </c>
      <c r="AC78" s="34">
        <f t="shared" si="53"/>
        <v>0.10335843412327113</v>
      </c>
      <c r="AD78" s="26">
        <f t="shared" si="54"/>
        <v>2.1061011106557612</v>
      </c>
      <c r="AE78" s="18">
        <f t="shared" si="55"/>
        <v>2.1061011106557612</v>
      </c>
      <c r="AF78" s="10" t="str">
        <f t="shared" si="49"/>
        <v>Wellington Regional</v>
      </c>
      <c r="AG78" s="42">
        <f t="shared" si="56"/>
        <v>0.56000000000000005</v>
      </c>
      <c r="AH78" s="18">
        <f t="shared" si="57"/>
        <v>0.51</v>
      </c>
      <c r="AI78" s="1"/>
      <c r="AJ78" s="1"/>
      <c r="AK78" s="1"/>
      <c r="AL78" s="1"/>
      <c r="AM78" s="1">
        <f>MIN(W40,Y40)</f>
        <v>52966530.609999999</v>
      </c>
      <c r="AN78" s="1">
        <f>Y40-AM78</f>
        <v>1299166.2848545983</v>
      </c>
      <c r="AO78" s="1">
        <f>W40-AM78</f>
        <v>0</v>
      </c>
    </row>
    <row r="79" spans="1:41" x14ac:dyDescent="0.25">
      <c r="A79" s="94">
        <f t="shared" si="36"/>
        <v>77</v>
      </c>
      <c r="B79" s="95">
        <v>91</v>
      </c>
      <c r="C79">
        <f>MATCH(B79,Inputs!$A$4:$A$81,0)</f>
        <v>76</v>
      </c>
      <c r="D79" t="str">
        <f>INDEX(Inputs!$A$4:$S$81,Model!$C79,D$90)</f>
        <v>Canterbury Regional</v>
      </c>
      <c r="E79">
        <f>INDEX(Inputs!$A$4:$S$81,Model!$C79,E$90)</f>
        <v>281716</v>
      </c>
      <c r="F79">
        <f>INDEX(Inputs!$A$4:$S$81,Model!$C79,F$90)</f>
        <v>974.76450460759099</v>
      </c>
      <c r="G79">
        <f>INDEX(Inputs!$A$4:$S$81,Model!$C79,G$90)</f>
        <v>8.4718344605837624E-8</v>
      </c>
      <c r="H79" s="10">
        <f t="shared" si="37"/>
        <v>3.2421870280132961</v>
      </c>
      <c r="I79" s="14">
        <f t="shared" si="38"/>
        <v>-0.66153185909454004</v>
      </c>
      <c r="J79" s="14">
        <f t="shared" si="39"/>
        <v>-0.49703554616667095</v>
      </c>
      <c r="K79" s="10">
        <f t="shared" si="40"/>
        <v>3.2736933325702413</v>
      </c>
      <c r="L79" s="14">
        <f t="shared" si="41"/>
        <v>1.3060135931929595</v>
      </c>
      <c r="M79" s="14">
        <f t="shared" si="42"/>
        <v>0.38976106035007313</v>
      </c>
      <c r="N79" s="14">
        <f t="shared" si="43"/>
        <v>4.9694679861132744</v>
      </c>
      <c r="O79" s="14">
        <f t="shared" si="50"/>
        <v>0.21403615780890781</v>
      </c>
      <c r="P79" s="11">
        <f t="shared" si="51"/>
        <v>-4.1695994608257489</v>
      </c>
      <c r="S79" s="26">
        <f t="shared" si="44"/>
        <v>0.51</v>
      </c>
      <c r="T79" s="18">
        <f>INDEX(Inputs!R$4:R$81,Model!$C79)</f>
        <v>0.53195303654113324</v>
      </c>
      <c r="U79" s="10">
        <f>INDEX(Inputs!O$4:O$81,Model!$C79)</f>
        <v>166890774</v>
      </c>
      <c r="V79" s="14">
        <f>INDEX(Inputs!P$4:P$81,Model!$C79)</f>
        <v>88778054</v>
      </c>
      <c r="W79" s="11">
        <f>INDEX(Inputs!Q$4:Q$81,Model!$C79)</f>
        <v>78112720</v>
      </c>
      <c r="X79" s="10">
        <f t="shared" si="45"/>
        <v>85114294.739999995</v>
      </c>
      <c r="Y79" s="14">
        <f t="shared" si="46"/>
        <v>81776479.260000005</v>
      </c>
      <c r="Z79" s="14">
        <f t="shared" si="47"/>
        <v>-3663759.2600000054</v>
      </c>
      <c r="AA79" s="11">
        <f t="shared" si="48"/>
        <v>3663759.2600000054</v>
      </c>
      <c r="AB79" s="33">
        <f t="shared" si="52"/>
        <v>-4.1268749369072738E-2</v>
      </c>
      <c r="AC79" s="34">
        <f t="shared" si="53"/>
        <v>4.6903491006330407E-2</v>
      </c>
      <c r="AD79" s="26">
        <f t="shared" si="54"/>
        <v>0.46041632634997776</v>
      </c>
      <c r="AE79" s="18">
        <f t="shared" si="55"/>
        <v>0.46041632634997776</v>
      </c>
      <c r="AF79" s="10" t="str">
        <f t="shared" si="49"/>
        <v>Canterbury Regional</v>
      </c>
      <c r="AG79" s="42">
        <f t="shared" si="56"/>
        <v>0.53</v>
      </c>
      <c r="AH79" s="18">
        <f t="shared" si="57"/>
        <v>0.51</v>
      </c>
      <c r="AI79" s="1"/>
      <c r="AJ79" s="1">
        <f>MIN(V41,X41)</f>
        <v>1475636</v>
      </c>
      <c r="AK79" s="1">
        <f>X41-AJ79</f>
        <v>90227.463636806933</v>
      </c>
      <c r="AL79" s="1">
        <f>V41-AJ79</f>
        <v>0</v>
      </c>
      <c r="AM79" s="1"/>
      <c r="AN79" s="1"/>
      <c r="AO79" s="1"/>
    </row>
    <row r="80" spans="1:41" x14ac:dyDescent="0.25">
      <c r="A80" s="96">
        <f t="shared" si="36"/>
        <v>78</v>
      </c>
      <c r="B80" s="97">
        <v>4</v>
      </c>
      <c r="C80">
        <f>MATCH(B80,Inputs!$A$4:$A$81,0)</f>
        <v>4</v>
      </c>
      <c r="D80" t="str">
        <f>INDEX(Inputs!$A$4:$S$81,Model!$C80,D$90)</f>
        <v>Auckland</v>
      </c>
      <c r="E80">
        <f>INDEX(Inputs!$A$4:$S$81,Model!$C80,E$90)</f>
        <v>524102</v>
      </c>
      <c r="F80">
        <f>INDEX(Inputs!$A$4:$S$81,Model!$C80,F$90)</f>
        <v>998.00934646069493</v>
      </c>
      <c r="G80">
        <f>INDEX(Inputs!$A$4:$S$81,Model!$C80,G$90)</f>
        <v>1.5939747071488431E-8</v>
      </c>
      <c r="H80" s="10">
        <f t="shared" si="37"/>
        <v>6.5158803605835374</v>
      </c>
      <c r="I80" s="14">
        <f t="shared" si="38"/>
        <v>-0.10645464657292629</v>
      </c>
      <c r="J80" s="14">
        <f t="shared" si="39"/>
        <v>-0.87513414643742393</v>
      </c>
      <c r="K80" s="10">
        <f t="shared" si="40"/>
        <v>0</v>
      </c>
      <c r="L80" s="14">
        <f t="shared" si="41"/>
        <v>1.8610908057145732</v>
      </c>
      <c r="M80" s="14">
        <f t="shared" si="42"/>
        <v>1.1662460079320147E-2</v>
      </c>
      <c r="N80" s="14">
        <f t="shared" si="43"/>
        <v>1.8727532657938935</v>
      </c>
      <c r="O80" s="14">
        <f t="shared" si="50"/>
        <v>0</v>
      </c>
      <c r="P80" s="11">
        <f t="shared" si="51"/>
        <v>-7.2663141811451304</v>
      </c>
      <c r="S80" s="26">
        <f t="shared" si="44"/>
        <v>0.51</v>
      </c>
      <c r="T80" s="18">
        <f>INDEX(Inputs!R$4:R$81,Model!$C80)</f>
        <v>0.51790995734194234</v>
      </c>
      <c r="U80" s="10">
        <f>INDEX(Inputs!O$4:O$81,Model!$C80)</f>
        <v>2336302835.0999999</v>
      </c>
      <c r="V80" s="14">
        <f>INDEX(Inputs!P$4:P$81,Model!$C80)</f>
        <v>1209994501.6645</v>
      </c>
      <c r="W80" s="11">
        <f>INDEX(Inputs!Q$4:Q$81,Model!$C80)</f>
        <v>1126308333.4354999</v>
      </c>
      <c r="X80" s="10">
        <f t="shared" si="45"/>
        <v>1191514445.901</v>
      </c>
      <c r="Y80" s="14">
        <f t="shared" si="46"/>
        <v>1144788389.1989999</v>
      </c>
      <c r="Z80" s="14">
        <f t="shared" si="47"/>
        <v>-18480055.763499975</v>
      </c>
      <c r="AA80" s="11">
        <f t="shared" si="48"/>
        <v>18480055.763499975</v>
      </c>
      <c r="AB80" s="33">
        <f t="shared" si="52"/>
        <v>-1.5272842759267359E-2</v>
      </c>
      <c r="AC80" s="34">
        <f t="shared" si="53"/>
        <v>1.6407634761195052E-2</v>
      </c>
      <c r="AD80" s="26">
        <f t="shared" si="54"/>
        <v>2.3223467432118832</v>
      </c>
      <c r="AE80" s="18">
        <f t="shared" si="55"/>
        <v>2.3223467432118832</v>
      </c>
      <c r="AF80" s="12" t="str">
        <f t="shared" si="49"/>
        <v>Auckland</v>
      </c>
      <c r="AG80" s="43">
        <f t="shared" si="56"/>
        <v>0.52</v>
      </c>
      <c r="AH80" s="39">
        <f t="shared" si="57"/>
        <v>0.51</v>
      </c>
      <c r="AI80" s="1"/>
      <c r="AJ80" s="1"/>
      <c r="AK80" s="1"/>
      <c r="AL80" s="1"/>
      <c r="AM80" s="1">
        <f>MIN(W41,Y41)</f>
        <v>1494491.5363631931</v>
      </c>
      <c r="AN80" s="1">
        <f>Y41-AM80</f>
        <v>0</v>
      </c>
      <c r="AO80" s="1">
        <f>W41-AM80</f>
        <v>90227.463636806933</v>
      </c>
    </row>
    <row r="81" spans="2:41" x14ac:dyDescent="0.25">
      <c r="B81" s="22">
        <v>99</v>
      </c>
      <c r="D81" t="s">
        <v>128</v>
      </c>
      <c r="H81" s="10"/>
      <c r="I81" s="14"/>
      <c r="J81" s="14"/>
      <c r="K81" s="10"/>
      <c r="L81" s="14"/>
      <c r="M81" s="14"/>
      <c r="N81" s="14"/>
      <c r="O81" s="14"/>
      <c r="P81" s="11"/>
      <c r="S81" s="44">
        <f>R18</f>
        <v>0.52995772678918829</v>
      </c>
      <c r="T81" s="27">
        <f>Inputs!R82</f>
        <v>0.53201124194865301</v>
      </c>
      <c r="U81" s="19">
        <f t="shared" ref="U81:W81" si="58">SUM(U3:U80)</f>
        <v>6144795610.5799999</v>
      </c>
      <c r="V81" s="20">
        <f t="shared" si="58"/>
        <v>3264439405.4245005</v>
      </c>
      <c r="W81" s="21">
        <f t="shared" si="58"/>
        <v>2880356205.1554999</v>
      </c>
      <c r="X81" s="19">
        <f t="shared" ref="X81" si="59">SUM(X3:X80)</f>
        <v>3256481913.3671594</v>
      </c>
      <c r="Y81" s="20">
        <f t="shared" ref="Y81" si="60">SUM(Y3:Y80)</f>
        <v>2888313697.212841</v>
      </c>
      <c r="Z81" s="20">
        <f t="shared" ref="Z81" si="61">SUM(Z3:Z80)</f>
        <v>-7957492.0573408604</v>
      </c>
      <c r="AA81" s="21">
        <f t="shared" ref="AA81" si="62">SUM(AA3:AA80)</f>
        <v>7957492.0573408604</v>
      </c>
      <c r="AB81" s="35">
        <f t="shared" si="52"/>
        <v>-2.437628967509074E-3</v>
      </c>
      <c r="AC81" s="36">
        <f t="shared" si="53"/>
        <v>2.7626763811704545E-3</v>
      </c>
      <c r="AD81" s="37">
        <f t="shared" si="54"/>
        <v>1</v>
      </c>
      <c r="AE81" s="27">
        <f t="shared" si="55"/>
        <v>1</v>
      </c>
      <c r="AF81" s="12" t="str">
        <f t="shared" si="49"/>
        <v>National</v>
      </c>
      <c r="AG81" s="43">
        <f t="shared" si="56"/>
        <v>0.53</v>
      </c>
      <c r="AH81" s="39">
        <f t="shared" si="57"/>
        <v>0.53</v>
      </c>
      <c r="AI81" s="1"/>
      <c r="AJ81" s="1">
        <f>MIN(V42,X42)</f>
        <v>12829703</v>
      </c>
      <c r="AK81" s="1">
        <f>X42-AJ81</f>
        <v>518075.65000000037</v>
      </c>
      <c r="AL81" s="1">
        <f>V42-AJ81</f>
        <v>0</v>
      </c>
      <c r="AM81" s="1"/>
      <c r="AN81" s="1"/>
      <c r="AO81" s="1"/>
    </row>
    <row r="82" spans="2:41" x14ac:dyDescent="0.25">
      <c r="D82" t="s">
        <v>91</v>
      </c>
      <c r="E82">
        <f>MIN(E3:E80)</f>
        <v>559</v>
      </c>
      <c r="F82">
        <f t="shared" ref="F82:G82" si="63">MIN(F3:F80)</f>
        <v>920.07287117903934</v>
      </c>
      <c r="G82">
        <f t="shared" si="63"/>
        <v>1.3818269638137488E-8</v>
      </c>
      <c r="H82" s="10">
        <f t="shared" ref="H82:J82" si="64">MIN(H3:H80)</f>
        <v>-0.55515191196447133</v>
      </c>
      <c r="I82" s="14">
        <f t="shared" si="64"/>
        <v>-1.9675454522874996</v>
      </c>
      <c r="J82" s="14">
        <f t="shared" si="64"/>
        <v>-0.88679660651674408</v>
      </c>
      <c r="K82" s="10">
        <f t="shared" ref="K82:M82" si="65">MIN(K3:K80)</f>
        <v>0</v>
      </c>
      <c r="L82" s="14">
        <f t="shared" si="65"/>
        <v>0</v>
      </c>
      <c r="M82" s="14">
        <f t="shared" si="65"/>
        <v>0</v>
      </c>
      <c r="N82" s="14">
        <f t="shared" ref="N82:O82" si="66">MIN(N3:N80)</f>
        <v>1.8727532657938935</v>
      </c>
      <c r="O82" s="14">
        <f t="shared" si="66"/>
        <v>0</v>
      </c>
      <c r="P82" s="11">
        <f t="shared" ref="P82" si="67">MIN(P3:P80)</f>
        <v>-7.2663141811451304</v>
      </c>
      <c r="T82" s="7"/>
      <c r="X82" s="14"/>
      <c r="Y82" s="14"/>
      <c r="Z82" s="14"/>
      <c r="AA82" s="14"/>
      <c r="AB82" s="2"/>
      <c r="AC82" s="2"/>
      <c r="AD82" s="2"/>
      <c r="AE82" s="2"/>
      <c r="AF82" s="1"/>
      <c r="AI82" s="1"/>
      <c r="AJ82" s="1"/>
      <c r="AK82" s="1"/>
      <c r="AL82" s="1"/>
      <c r="AM82" s="1">
        <f>MIN(W42,Y42)</f>
        <v>12824336.35</v>
      </c>
      <c r="AN82" s="1">
        <f>Y42-AM82</f>
        <v>0</v>
      </c>
      <c r="AO82" s="1">
        <f>W42-AM82</f>
        <v>518075.65000000037</v>
      </c>
    </row>
    <row r="83" spans="2:41" x14ac:dyDescent="0.25">
      <c r="D83" t="s">
        <v>92</v>
      </c>
      <c r="E83">
        <f>MAX(E3:E80)</f>
        <v>524102</v>
      </c>
      <c r="F83">
        <f t="shared" ref="F83:G83" si="68">MAX(F3:F80)</f>
        <v>1148.7324066029539</v>
      </c>
      <c r="G83">
        <f t="shared" si="68"/>
        <v>1.4589390171641322E-6</v>
      </c>
      <c r="H83" s="10">
        <f t="shared" ref="H83:J83" si="69">MAX(H3:H80)</f>
        <v>6.5158803605835374</v>
      </c>
      <c r="I83" s="14">
        <f t="shared" si="69"/>
        <v>3.4927497109013736</v>
      </c>
      <c r="J83" s="14">
        <f t="shared" si="69"/>
        <v>7.0575080383827427</v>
      </c>
      <c r="K83" s="10">
        <f t="shared" ref="K83:M83" si="70">MAX(K3:K80)</f>
        <v>7.0710322725480088</v>
      </c>
      <c r="L83" s="14">
        <f t="shared" si="70"/>
        <v>5.4602951631888734</v>
      </c>
      <c r="M83" s="14">
        <f t="shared" si="70"/>
        <v>7.9443046448994865</v>
      </c>
      <c r="N83" s="14">
        <f t="shared" ref="N83:O83" si="71">MAX(N3:N80)</f>
        <v>16.340938230523722</v>
      </c>
      <c r="O83" s="14">
        <f t="shared" si="71"/>
        <v>1</v>
      </c>
      <c r="P83" s="11">
        <f t="shared" ref="P83" si="72">MAX(P3:P80)</f>
        <v>7.2018707835846989</v>
      </c>
      <c r="T83" s="7"/>
      <c r="X83" s="14"/>
      <c r="Y83" s="14"/>
      <c r="Z83" s="14"/>
      <c r="AA83" s="14"/>
      <c r="AB83" s="2"/>
      <c r="AC83" s="2"/>
      <c r="AD83" s="2"/>
      <c r="AE83" s="2"/>
      <c r="AF83" s="1"/>
      <c r="AI83" s="1"/>
      <c r="AJ83" s="1">
        <f>MIN(V43,X43)</f>
        <v>19004903</v>
      </c>
      <c r="AK83" s="1">
        <f>X43-AJ83</f>
        <v>2842571.8599999994</v>
      </c>
      <c r="AL83" s="1">
        <f>V43-AJ83</f>
        <v>0</v>
      </c>
      <c r="AM83" s="1"/>
      <c r="AN83" s="1"/>
      <c r="AO83" s="1"/>
    </row>
    <row r="84" spans="2:41" x14ac:dyDescent="0.25">
      <c r="D84" t="s">
        <v>93</v>
      </c>
      <c r="E84">
        <f>E83-E82</f>
        <v>523543</v>
      </c>
      <c r="F84">
        <f t="shared" ref="F84:G84" si="73">F83-F82</f>
        <v>228.65953542391458</v>
      </c>
      <c r="G84">
        <f t="shared" si="73"/>
        <v>1.4451207475259947E-6</v>
      </c>
      <c r="H84" s="10">
        <f t="shared" ref="H84:J84" si="74">H83-H82</f>
        <v>7.0710322725480088</v>
      </c>
      <c r="I84" s="14">
        <f t="shared" si="74"/>
        <v>5.4602951631888734</v>
      </c>
      <c r="J84" s="14">
        <f t="shared" si="74"/>
        <v>7.9443046448994865</v>
      </c>
      <c r="K84" s="10">
        <f t="shared" ref="K84" si="75">K83-K82</f>
        <v>7.0710322725480088</v>
      </c>
      <c r="L84" s="14">
        <f t="shared" ref="L84" si="76">L83-L82</f>
        <v>5.4602951631888734</v>
      </c>
      <c r="M84" s="14">
        <f t="shared" ref="M84:P84" si="77">M83-M82</f>
        <v>7.9443046448994865</v>
      </c>
      <c r="N84" s="14">
        <f t="shared" si="77"/>
        <v>14.468184964729829</v>
      </c>
      <c r="O84" s="14">
        <f t="shared" si="77"/>
        <v>1</v>
      </c>
      <c r="P84" s="11">
        <f t="shared" si="77"/>
        <v>14.468184964729829</v>
      </c>
      <c r="T84" s="7"/>
      <c r="X84" s="14"/>
      <c r="Y84" s="14"/>
      <c r="Z84" s="14"/>
      <c r="AA84" s="14"/>
      <c r="AB84" s="2"/>
      <c r="AC84" s="2"/>
      <c r="AD84" s="2"/>
      <c r="AE84" s="2"/>
      <c r="AF84" s="1"/>
      <c r="AI84" s="1"/>
      <c r="AJ84" s="1"/>
      <c r="AK84" s="1"/>
      <c r="AL84" s="1"/>
      <c r="AM84" s="1">
        <f>MIN(W43,Y43)</f>
        <v>20990711.140000001</v>
      </c>
      <c r="AN84" s="1">
        <f>Y43-AM84</f>
        <v>0</v>
      </c>
      <c r="AO84" s="1">
        <f>W43-AM84</f>
        <v>2842571.8599999994</v>
      </c>
    </row>
    <row r="85" spans="2:41" x14ac:dyDescent="0.25">
      <c r="D85" t="s">
        <v>99</v>
      </c>
      <c r="E85">
        <f>QUARTILE(E3:E80,2)</f>
        <v>21081.5</v>
      </c>
      <c r="F85">
        <f t="shared" ref="F85:O85" si="78">QUARTILE(F3:F80,2)</f>
        <v>997.1661732385262</v>
      </c>
      <c r="G85">
        <f t="shared" si="78"/>
        <v>1.3748360659181582E-7</v>
      </c>
      <c r="H85" s="10">
        <f t="shared" ref="H85:J85" si="79">QUARTILE(H3:H80,2)</f>
        <v>-0.2779726548387596</v>
      </c>
      <c r="I85" s="14">
        <f t="shared" si="79"/>
        <v>-0.12658927449562909</v>
      </c>
      <c r="J85" s="14">
        <f t="shared" si="79"/>
        <v>-0.20696752479048158</v>
      </c>
      <c r="K85" s="10">
        <f t="shared" si="78"/>
        <v>6.7938530154222967</v>
      </c>
      <c r="L85" s="14">
        <f t="shared" si="78"/>
        <v>1.8409561777918704</v>
      </c>
      <c r="M85" s="14">
        <f t="shared" si="78"/>
        <v>0.67982908172626244</v>
      </c>
      <c r="N85" s="14">
        <f t="shared" si="78"/>
        <v>9.1390674469390234</v>
      </c>
      <c r="O85" s="14">
        <f t="shared" si="78"/>
        <v>0.50222707263272925</v>
      </c>
      <c r="P85" s="11">
        <f t="shared" ref="P85" si="80">QUARTILE(P3:P80,2)</f>
        <v>-8.8817841970012523E-16</v>
      </c>
      <c r="T85" s="7"/>
      <c r="X85" s="14"/>
      <c r="Y85" s="14"/>
      <c r="Z85" s="14"/>
      <c r="AA85" s="14"/>
      <c r="AB85" s="2"/>
      <c r="AC85" s="2"/>
      <c r="AD85" s="2"/>
      <c r="AE85" s="2"/>
      <c r="AF85" s="1"/>
      <c r="AI85" s="1"/>
      <c r="AJ85" s="1">
        <f>MIN(V44,X44)</f>
        <v>5160717.03</v>
      </c>
      <c r="AK85" s="1">
        <f>X44-AJ85</f>
        <v>0</v>
      </c>
      <c r="AL85" s="1">
        <f>V44-AJ85</f>
        <v>359417.96999999974</v>
      </c>
      <c r="AM85" s="1"/>
      <c r="AN85" s="1"/>
      <c r="AO85" s="1"/>
    </row>
    <row r="86" spans="2:41" x14ac:dyDescent="0.25">
      <c r="D86" t="s">
        <v>133</v>
      </c>
      <c r="E86" s="14">
        <f t="shared" ref="E86:J86" si="81">QUARTILE(E3:E80,3)-QUARTILE(E3:E80,1)</f>
        <v>24929.25</v>
      </c>
      <c r="F86" s="14">
        <f t="shared" si="81"/>
        <v>42.790482453677441</v>
      </c>
      <c r="G86" s="14">
        <f t="shared" si="81"/>
        <v>1.4855485860895439E-7</v>
      </c>
      <c r="H86" s="10">
        <f t="shared" si="81"/>
        <v>0.33669733198689977</v>
      </c>
      <c r="I86" s="14">
        <f t="shared" si="81"/>
        <v>1.0218190286233619</v>
      </c>
      <c r="J86" s="14">
        <f t="shared" si="81"/>
        <v>0.81665497868597614</v>
      </c>
      <c r="K86" s="10">
        <f>QUARTILE(K3:K80,3)-QUARTILE(K3:K80,1)</f>
        <v>0.33669733198690022</v>
      </c>
      <c r="L86" s="14">
        <f t="shared" ref="L86:P86" si="82">QUARTILE(L3:L80,3)-QUARTILE(L3:L80,1)</f>
        <v>1.0218190286233617</v>
      </c>
      <c r="M86" s="14">
        <f t="shared" si="82"/>
        <v>0.81665497868597625</v>
      </c>
      <c r="N86" s="14">
        <f t="shared" si="82"/>
        <v>1.6923037457085801</v>
      </c>
      <c r="O86" s="14">
        <f t="shared" si="82"/>
        <v>0.11696724570732508</v>
      </c>
      <c r="P86" s="11">
        <f t="shared" si="82"/>
        <v>1.692303745708581</v>
      </c>
      <c r="AB86" s="2"/>
      <c r="AC86" s="2"/>
      <c r="AD86" s="2"/>
      <c r="AE86" s="2"/>
      <c r="AF86" s="1"/>
      <c r="AI86" s="1"/>
      <c r="AJ86" s="1"/>
      <c r="AK86" s="1"/>
      <c r="AL86" s="1"/>
      <c r="AM86" s="1">
        <f>MIN(W44,Y44)</f>
        <v>4598918</v>
      </c>
      <c r="AN86" s="1">
        <f>Y44-AM86</f>
        <v>359417.96999999974</v>
      </c>
      <c r="AO86" s="1">
        <f>W44-AM86</f>
        <v>0</v>
      </c>
    </row>
    <row r="87" spans="2:41" s="1" customFormat="1" x14ac:dyDescent="0.25">
      <c r="D87" s="1" t="s">
        <v>137</v>
      </c>
      <c r="E87" s="14">
        <f>AVERAGE(E3:E80)</f>
        <v>41662.743589743586</v>
      </c>
      <c r="F87" s="14">
        <f t="shared" ref="F87:P87" si="83">AVERAGE(F3:F80)</f>
        <v>1002.4673234201065</v>
      </c>
      <c r="G87" s="14">
        <f t="shared" si="83"/>
        <v>1.7513234710566979E-7</v>
      </c>
      <c r="H87" s="10">
        <f t="shared" ref="H87:J87" si="84">AVERAGE(H3:H80)</f>
        <v>0</v>
      </c>
      <c r="I87" s="14">
        <f t="shared" si="84"/>
        <v>-6.0355922539037156E-15</v>
      </c>
      <c r="J87" s="14">
        <f t="shared" si="84"/>
        <v>-4.2843221847714375E-16</v>
      </c>
      <c r="K87" s="10">
        <f t="shared" si="83"/>
        <v>6.5158803605835374</v>
      </c>
      <c r="L87" s="14">
        <f t="shared" si="83"/>
        <v>1.967545452287494</v>
      </c>
      <c r="M87" s="14">
        <f t="shared" si="83"/>
        <v>0.88679660651674364</v>
      </c>
      <c r="N87" s="14">
        <f t="shared" si="83"/>
        <v>9.3702224193877779</v>
      </c>
      <c r="O87" s="14">
        <f t="shared" si="83"/>
        <v>0.5182038501630315</v>
      </c>
      <c r="P87" s="11">
        <f t="shared" si="83"/>
        <v>0.23115497244875113</v>
      </c>
      <c r="AB87" s="2"/>
      <c r="AC87" s="2"/>
      <c r="AD87" s="2"/>
      <c r="AE87" s="2"/>
      <c r="AJ87" s="1">
        <f>MIN(V45,X45)</f>
        <v>52033358.43</v>
      </c>
      <c r="AK87" s="1">
        <f>X45-AJ87</f>
        <v>0</v>
      </c>
      <c r="AL87" s="1">
        <f>V45-AJ87</f>
        <v>499573.26000000536</v>
      </c>
    </row>
    <row r="88" spans="2:41" s="1" customFormat="1" x14ac:dyDescent="0.25">
      <c r="D88" s="1" t="s">
        <v>136</v>
      </c>
      <c r="E88" s="14">
        <f>_xlfn.STDEV.P(E3:E80)</f>
        <v>74040.533237637748</v>
      </c>
      <c r="F88" s="14">
        <f>_xlfn.STDEV.P(F3:F80)</f>
        <v>41.876771967465373</v>
      </c>
      <c r="G88" s="14">
        <f>_xlfn.STDEV.P(G3:G80)</f>
        <v>1.8190651191275893E-7</v>
      </c>
      <c r="H88" s="10">
        <f t="shared" ref="H88:J88" si="85">_xlfn.STDEV.P(H3:H80)</f>
        <v>1</v>
      </c>
      <c r="I88" s="14">
        <f t="shared" si="85"/>
        <v>1</v>
      </c>
      <c r="J88" s="14">
        <f t="shared" si="85"/>
        <v>0.99999999999999956</v>
      </c>
      <c r="K88" s="10">
        <f t="shared" ref="K88:P88" si="86">_xlfn.STDEV.P(K3:K80)</f>
        <v>0.99999999999999523</v>
      </c>
      <c r="L88" s="14">
        <f t="shared" si="86"/>
        <v>1</v>
      </c>
      <c r="M88" s="14">
        <f t="shared" si="86"/>
        <v>0.99999999999999956</v>
      </c>
      <c r="N88" s="14">
        <f t="shared" si="86"/>
        <v>1.919307450805982</v>
      </c>
      <c r="O88" s="14">
        <f t="shared" si="86"/>
        <v>0.1326570993863318</v>
      </c>
      <c r="P88" s="11">
        <f t="shared" si="86"/>
        <v>1.9193074508059915</v>
      </c>
      <c r="AB88" s="2"/>
      <c r="AC88" s="2"/>
      <c r="AD88" s="2"/>
      <c r="AE88" s="2"/>
      <c r="AM88" s="1">
        <f>MIN(W45,Y45)</f>
        <v>49493261.309999995</v>
      </c>
      <c r="AN88" s="1">
        <f>Y45-AM88</f>
        <v>499573.26000000536</v>
      </c>
      <c r="AO88" s="1">
        <f>W45-AM88</f>
        <v>0</v>
      </c>
    </row>
    <row r="89" spans="2:41" x14ac:dyDescent="0.25">
      <c r="H89" s="10"/>
      <c r="I89" s="14"/>
      <c r="J89" s="14"/>
      <c r="K89" s="10"/>
      <c r="L89" s="14"/>
      <c r="M89" s="14"/>
      <c r="N89" s="14"/>
      <c r="O89" s="14"/>
      <c r="P89" s="11"/>
      <c r="AB89" s="2"/>
      <c r="AC89" s="2"/>
      <c r="AD89" s="2"/>
      <c r="AE89" s="2"/>
      <c r="AF89" s="1"/>
      <c r="AI89" s="1"/>
      <c r="AJ89" s="1">
        <f>MIN(V46,X46)</f>
        <v>10639265.550000001</v>
      </c>
      <c r="AK89" s="1">
        <f>X46-AJ89</f>
        <v>0</v>
      </c>
      <c r="AL89" s="1">
        <f>V46-AJ89</f>
        <v>1429559.4499999993</v>
      </c>
      <c r="AM89" s="1"/>
      <c r="AN89" s="1"/>
      <c r="AO89" s="1"/>
    </row>
    <row r="90" spans="2:41" x14ac:dyDescent="0.25">
      <c r="C90" t="s">
        <v>90</v>
      </c>
      <c r="D90">
        <v>2</v>
      </c>
      <c r="E90">
        <v>5</v>
      </c>
      <c r="F90">
        <v>6</v>
      </c>
      <c r="G90">
        <v>19</v>
      </c>
      <c r="H90" s="10"/>
      <c r="I90" s="14"/>
      <c r="J90" s="14"/>
      <c r="K90" s="10"/>
      <c r="L90" s="14"/>
      <c r="M90" s="14"/>
      <c r="N90" s="14"/>
      <c r="O90" s="14"/>
      <c r="P90" s="11"/>
      <c r="AB90" s="2"/>
      <c r="AC90" s="2"/>
      <c r="AD90" s="2"/>
      <c r="AE90" s="2"/>
      <c r="AF90" s="1"/>
      <c r="AI90" s="1"/>
      <c r="AJ90" s="1"/>
      <c r="AK90" s="1"/>
      <c r="AL90" s="1"/>
      <c r="AM90" s="1">
        <f>MIN(W46,Y46)</f>
        <v>8792480</v>
      </c>
      <c r="AN90" s="1">
        <f>Y46-AM90</f>
        <v>1429559.4499999993</v>
      </c>
      <c r="AO90" s="1">
        <f>W46-AM90</f>
        <v>0</v>
      </c>
    </row>
    <row r="91" spans="2:41" x14ac:dyDescent="0.25">
      <c r="C91" t="s">
        <v>96</v>
      </c>
      <c r="E91">
        <v>1</v>
      </c>
      <c r="F91">
        <v>-1</v>
      </c>
      <c r="G91">
        <v>-1</v>
      </c>
      <c r="H91" s="10"/>
      <c r="I91" s="14"/>
      <c r="J91" s="14"/>
      <c r="K91" s="10"/>
      <c r="L91" s="14"/>
      <c r="M91" s="14"/>
      <c r="N91" s="14"/>
      <c r="O91" s="14"/>
      <c r="P91" s="11"/>
      <c r="AB91" s="2"/>
      <c r="AC91" s="2"/>
      <c r="AD91" s="2"/>
      <c r="AE91" s="2"/>
      <c r="AF91" s="1"/>
      <c r="AJ91" s="1">
        <f>MIN(V47,X47)</f>
        <v>25505298.390000001</v>
      </c>
      <c r="AK91" s="1">
        <f>X47-AJ91</f>
        <v>0</v>
      </c>
      <c r="AL91" s="1">
        <f>V47-AJ91</f>
        <v>6282203.6099999994</v>
      </c>
      <c r="AM91" s="1"/>
      <c r="AN91" s="1"/>
      <c r="AO91" s="1"/>
    </row>
    <row r="92" spans="2:41" x14ac:dyDescent="0.25">
      <c r="C92" t="s">
        <v>124</v>
      </c>
      <c r="E92">
        <v>1</v>
      </c>
      <c r="F92">
        <v>1</v>
      </c>
      <c r="G92">
        <v>1</v>
      </c>
      <c r="H92" s="12"/>
      <c r="I92" s="17"/>
      <c r="J92" s="17"/>
      <c r="K92" s="12"/>
      <c r="L92" s="17"/>
      <c r="M92" s="17"/>
      <c r="N92" s="17"/>
      <c r="O92" s="17"/>
      <c r="P92" s="13"/>
      <c r="AB92" s="2"/>
      <c r="AC92" s="2"/>
      <c r="AD92" s="2"/>
      <c r="AE92" s="2"/>
      <c r="AF92" s="1"/>
      <c r="AJ92" s="1"/>
      <c r="AK92" s="1"/>
      <c r="AL92" s="1"/>
      <c r="AM92" s="1">
        <f>MIN(W47,Y47)</f>
        <v>18222887</v>
      </c>
      <c r="AN92" s="1">
        <f>Y47-AM92</f>
        <v>6282203.6099999994</v>
      </c>
      <c r="AO92" s="1">
        <f>W47-AM92</f>
        <v>0</v>
      </c>
    </row>
    <row r="93" spans="2:41" x14ac:dyDescent="0.25">
      <c r="F93" s="1"/>
      <c r="G93" s="1"/>
      <c r="AJ93" s="1">
        <f>MIN(V48,X48)</f>
        <v>7786882.4699999997</v>
      </c>
      <c r="AK93" s="1">
        <f>X48-AJ93</f>
        <v>0</v>
      </c>
      <c r="AL93" s="1">
        <f>V48-AJ93</f>
        <v>1005165.5300000003</v>
      </c>
      <c r="AM93" s="1"/>
      <c r="AN93" s="1"/>
      <c r="AO93" s="1"/>
    </row>
    <row r="94" spans="2:41" x14ac:dyDescent="0.25">
      <c r="AJ94" s="1"/>
      <c r="AK94" s="1"/>
      <c r="AL94" s="1"/>
      <c r="AM94" s="1">
        <f>MIN(W48,Y48)</f>
        <v>6476349</v>
      </c>
      <c r="AN94" s="1">
        <f>Y48-AM94</f>
        <v>1005165.5300000003</v>
      </c>
      <c r="AO94" s="1">
        <f>W48-AM94</f>
        <v>0</v>
      </c>
    </row>
    <row r="95" spans="2:41" x14ac:dyDescent="0.25">
      <c r="AJ95" s="1">
        <f>MIN(V49,X49)</f>
        <v>12942208.800000001</v>
      </c>
      <c r="AK95" s="1">
        <f>X49-AJ95</f>
        <v>0</v>
      </c>
      <c r="AL95" s="1">
        <f>V49-AJ95</f>
        <v>378291.19999999925</v>
      </c>
      <c r="AM95" s="1"/>
      <c r="AN95" s="1"/>
      <c r="AO95" s="1"/>
    </row>
    <row r="96" spans="2:41" x14ac:dyDescent="0.25">
      <c r="AJ96" s="1"/>
      <c r="AK96" s="1"/>
      <c r="AL96" s="1"/>
      <c r="AM96" s="1">
        <f>MIN(W49,Y49)</f>
        <v>12056380</v>
      </c>
      <c r="AN96" s="1">
        <f>Y49-AM96</f>
        <v>378291.19999999925</v>
      </c>
      <c r="AO96" s="1">
        <f>W49-AM96</f>
        <v>0</v>
      </c>
    </row>
    <row r="97" spans="6:41" x14ac:dyDescent="0.25">
      <c r="AJ97" s="1">
        <f>MIN(V50,X50)</f>
        <v>20685033</v>
      </c>
      <c r="AK97" s="1">
        <f>X50-AJ97</f>
        <v>926656.62000000104</v>
      </c>
      <c r="AL97" s="1">
        <f>V50-AJ97</f>
        <v>0</v>
      </c>
      <c r="AM97" s="1"/>
      <c r="AN97" s="1"/>
      <c r="AO97" s="1"/>
    </row>
    <row r="98" spans="6:41" x14ac:dyDescent="0.25">
      <c r="AJ98" s="1"/>
      <c r="AK98" s="1"/>
      <c r="AL98" s="1"/>
      <c r="AM98" s="1">
        <f>MIN(W50,Y50)</f>
        <v>20764172.379999999</v>
      </c>
      <c r="AN98" s="1">
        <f>Y50-AM98</f>
        <v>0</v>
      </c>
      <c r="AO98" s="1">
        <f>W50-AM98</f>
        <v>926656.62000000104</v>
      </c>
    </row>
    <row r="99" spans="6:41" x14ac:dyDescent="0.25">
      <c r="AJ99" s="1">
        <f>MIN(V51,X51)</f>
        <v>12734191.02</v>
      </c>
      <c r="AK99" s="1">
        <f>X51-AJ99</f>
        <v>0</v>
      </c>
      <c r="AL99" s="1">
        <f>V51-AJ99</f>
        <v>243877.98000000045</v>
      </c>
      <c r="AM99" s="1"/>
      <c r="AN99" s="1"/>
      <c r="AO99" s="1"/>
    </row>
    <row r="100" spans="6:41" x14ac:dyDescent="0.25">
      <c r="F100" s="1"/>
      <c r="G100" s="1"/>
      <c r="H100" s="5"/>
      <c r="AJ100" s="1"/>
      <c r="AK100" s="1"/>
      <c r="AL100" s="1"/>
      <c r="AM100" s="1">
        <f>MIN(W51,Y51)</f>
        <v>11990933</v>
      </c>
      <c r="AN100" s="1">
        <f>Y51-AM100</f>
        <v>243877.98000000045</v>
      </c>
      <c r="AO100" s="1">
        <f>W51-AM100</f>
        <v>0</v>
      </c>
    </row>
    <row r="101" spans="6:41" x14ac:dyDescent="0.25">
      <c r="F101" s="1"/>
      <c r="G101" s="1"/>
      <c r="H101" s="5"/>
      <c r="AJ101" s="1">
        <f>MIN(V52,X52)</f>
        <v>23272189.440000001</v>
      </c>
      <c r="AK101" s="1">
        <f>X52-AJ101</f>
        <v>0</v>
      </c>
      <c r="AL101" s="1">
        <f>V52-AJ101</f>
        <v>1248798.5599999987</v>
      </c>
      <c r="AM101" s="1"/>
      <c r="AN101" s="1"/>
      <c r="AO101" s="1"/>
    </row>
    <row r="102" spans="6:41" x14ac:dyDescent="0.25">
      <c r="F102" s="1"/>
      <c r="G102" s="1"/>
      <c r="H102" s="5"/>
      <c r="AJ102" s="1"/>
      <c r="AK102" s="1"/>
      <c r="AL102" s="1"/>
      <c r="AM102" s="1">
        <f>MIN(W52,Y52)</f>
        <v>21110756</v>
      </c>
      <c r="AN102" s="1">
        <f>Y52-AM102</f>
        <v>1248798.5599999987</v>
      </c>
      <c r="AO102" s="1">
        <f>W52-AM102</f>
        <v>0</v>
      </c>
    </row>
    <row r="103" spans="6:41" x14ac:dyDescent="0.25">
      <c r="F103" s="1"/>
      <c r="I103" s="1"/>
      <c r="AJ103" s="1">
        <f>MIN(V53,X53)</f>
        <v>4325729.7300000004</v>
      </c>
      <c r="AK103" s="1">
        <f>X53-AJ103</f>
        <v>0</v>
      </c>
      <c r="AL103" s="1">
        <f>V53-AJ103</f>
        <v>154947.26999999955</v>
      </c>
      <c r="AM103" s="1"/>
      <c r="AN103" s="1"/>
      <c r="AO103" s="1"/>
    </row>
    <row r="104" spans="6:41" x14ac:dyDescent="0.25">
      <c r="AJ104" s="1"/>
      <c r="AK104" s="1"/>
      <c r="AL104" s="1"/>
      <c r="AM104" s="1">
        <f>MIN(W53,Y53)</f>
        <v>4001146</v>
      </c>
      <c r="AN104" s="1">
        <f>Y53-AM104</f>
        <v>154947.26999999955</v>
      </c>
      <c r="AO104" s="1">
        <f>W53-AM104</f>
        <v>0</v>
      </c>
    </row>
    <row r="105" spans="6:41" x14ac:dyDescent="0.25">
      <c r="AJ105" s="1">
        <f>MIN(V54,X54)</f>
        <v>312048.59999999998</v>
      </c>
      <c r="AK105" s="1">
        <f>X54-AJ105</f>
        <v>0</v>
      </c>
      <c r="AL105" s="1">
        <f>V54-AJ105</f>
        <v>190676.40000000002</v>
      </c>
      <c r="AM105" s="1"/>
      <c r="AN105" s="1"/>
      <c r="AO105" s="1"/>
    </row>
    <row r="106" spans="6:41" x14ac:dyDescent="0.25">
      <c r="AJ106" s="1"/>
      <c r="AK106" s="1"/>
      <c r="AL106" s="1"/>
      <c r="AM106" s="1">
        <f>MIN(W54,Y54)</f>
        <v>109135</v>
      </c>
      <c r="AN106" s="1">
        <f>Y54-AM106</f>
        <v>190676.40000000002</v>
      </c>
      <c r="AO106" s="1">
        <f>W54-AM106</f>
        <v>0</v>
      </c>
    </row>
    <row r="107" spans="6:41" x14ac:dyDescent="0.25">
      <c r="AJ107" s="1">
        <f>MIN(V55,X55)</f>
        <v>30376651.620000001</v>
      </c>
      <c r="AK107" s="1">
        <f>X55-AJ107</f>
        <v>0</v>
      </c>
      <c r="AL107" s="1">
        <f>V55-AJ107</f>
        <v>1303365.379999999</v>
      </c>
      <c r="AM107" s="1"/>
      <c r="AN107" s="1"/>
      <c r="AO107" s="1"/>
    </row>
    <row r="108" spans="6:41" x14ac:dyDescent="0.25">
      <c r="AJ108" s="1"/>
      <c r="AK108" s="1"/>
      <c r="AL108" s="1"/>
      <c r="AM108" s="1">
        <f>MIN(W55,Y55)</f>
        <v>27882045</v>
      </c>
      <c r="AN108" s="1">
        <f>Y55-AM108</f>
        <v>1303365.379999999</v>
      </c>
      <c r="AO108" s="1">
        <f>W55-AM108</f>
        <v>0</v>
      </c>
    </row>
    <row r="109" spans="6:41" x14ac:dyDescent="0.25">
      <c r="AJ109" s="1">
        <f>MIN(V56,X56)</f>
        <v>27615568</v>
      </c>
      <c r="AK109" s="1">
        <f>X56-AJ109</f>
        <v>1317300.1400000006</v>
      </c>
      <c r="AL109" s="1">
        <f>V56-AJ109</f>
        <v>0</v>
      </c>
      <c r="AM109" s="1"/>
      <c r="AN109" s="1"/>
      <c r="AO109" s="1"/>
    </row>
    <row r="110" spans="6:41" x14ac:dyDescent="0.25">
      <c r="AJ110" s="1"/>
      <c r="AK110" s="1"/>
      <c r="AL110" s="1"/>
      <c r="AM110" s="1">
        <f>MIN(W56,Y56)</f>
        <v>27798245.859999999</v>
      </c>
      <c r="AN110" s="1">
        <f>Y56-AM110</f>
        <v>0</v>
      </c>
      <c r="AO110" s="1">
        <f>W56-AM110</f>
        <v>1317300.1400000006</v>
      </c>
    </row>
    <row r="111" spans="6:41" x14ac:dyDescent="0.25">
      <c r="AJ111" s="1">
        <f>MIN(V57,X57)</f>
        <v>16684384</v>
      </c>
      <c r="AK111" s="1">
        <f>X57-AJ111</f>
        <v>781517.14999999851</v>
      </c>
      <c r="AL111" s="1">
        <f>V57-AJ111</f>
        <v>0</v>
      </c>
      <c r="AM111" s="1"/>
      <c r="AN111" s="1"/>
      <c r="AO111" s="1"/>
    </row>
    <row r="112" spans="6:41" x14ac:dyDescent="0.25">
      <c r="AJ112" s="1"/>
      <c r="AK112" s="1"/>
      <c r="AL112" s="1"/>
      <c r="AM112" s="1">
        <f>MIN(W57,Y57)</f>
        <v>16780963.850000001</v>
      </c>
      <c r="AN112" s="1">
        <f>Y57-AM112</f>
        <v>0</v>
      </c>
      <c r="AO112" s="1">
        <f>W57-AM112</f>
        <v>781517.14999999851</v>
      </c>
    </row>
    <row r="113" spans="36:41" x14ac:dyDescent="0.25">
      <c r="AJ113" s="1">
        <f>MIN(V58,X58)</f>
        <v>25614860</v>
      </c>
      <c r="AK113" s="1">
        <f>X58-AJ113</f>
        <v>2498584.5100000016</v>
      </c>
      <c r="AL113" s="1">
        <f>V58-AJ113</f>
        <v>0</v>
      </c>
      <c r="AM113" s="1"/>
      <c r="AN113" s="1"/>
      <c r="AO113" s="1"/>
    </row>
    <row r="114" spans="36:41" x14ac:dyDescent="0.25">
      <c r="AJ114" s="1"/>
      <c r="AK114" s="1"/>
      <c r="AL114" s="1"/>
      <c r="AM114" s="1">
        <f>MIN(W58,Y58)</f>
        <v>27010956.489999998</v>
      </c>
      <c r="AN114" s="1">
        <f>Y58-AM114</f>
        <v>0</v>
      </c>
      <c r="AO114" s="1">
        <f>W58-AM114</f>
        <v>2498584.5100000016</v>
      </c>
    </row>
    <row r="115" spans="36:41" x14ac:dyDescent="0.25">
      <c r="AJ115" s="1">
        <f>MIN(V59,X59)</f>
        <v>46693134.149999999</v>
      </c>
      <c r="AK115" s="1">
        <f>X59-AJ115</f>
        <v>0</v>
      </c>
      <c r="AL115" s="1">
        <f>V59-AJ115</f>
        <v>3838618.8500000015</v>
      </c>
      <c r="AM115" s="1"/>
      <c r="AN115" s="1"/>
      <c r="AO115" s="1"/>
    </row>
    <row r="116" spans="36:41" x14ac:dyDescent="0.25">
      <c r="AJ116" s="1"/>
      <c r="AK116" s="1"/>
      <c r="AL116" s="1"/>
      <c r="AM116" s="1">
        <f>MIN(W59,Y59)</f>
        <v>41023412</v>
      </c>
      <c r="AN116" s="1">
        <f>Y59-AM116</f>
        <v>3838618.8500000015</v>
      </c>
      <c r="AO116" s="1">
        <f>W59-AM116</f>
        <v>0</v>
      </c>
    </row>
    <row r="117" spans="36:41" x14ac:dyDescent="0.25">
      <c r="AJ117" s="1">
        <f>MIN(V60,X60)</f>
        <v>76637092.079999998</v>
      </c>
      <c r="AK117" s="1">
        <f>X60-AJ117</f>
        <v>0</v>
      </c>
      <c r="AL117" s="1">
        <f>V60-AJ117</f>
        <v>1914551.3700000048</v>
      </c>
      <c r="AM117" s="1"/>
      <c r="AN117" s="1"/>
      <c r="AO117" s="1"/>
    </row>
    <row r="118" spans="36:41" x14ac:dyDescent="0.25">
      <c r="AJ118" s="1"/>
      <c r="AK118" s="1"/>
      <c r="AL118" s="1"/>
      <c r="AM118" s="1">
        <f>MIN(W60,Y60)</f>
        <v>71717164.549999997</v>
      </c>
      <c r="AN118" s="1">
        <f>Y60-AM118</f>
        <v>1914551.3700000048</v>
      </c>
      <c r="AO118" s="1">
        <f>W60-AM118</f>
        <v>0</v>
      </c>
    </row>
    <row r="119" spans="36:41" x14ac:dyDescent="0.25">
      <c r="AJ119" s="1">
        <f>MIN(V61,X61)</f>
        <v>18760769</v>
      </c>
      <c r="AK119" s="1">
        <f>X61-AJ119</f>
        <v>1116920.1099999994</v>
      </c>
      <c r="AL119" s="1">
        <f>V61-AJ119</f>
        <v>0</v>
      </c>
      <c r="AM119" s="1"/>
      <c r="AN119" s="1"/>
      <c r="AO119" s="1"/>
    </row>
    <row r="120" spans="36:41" x14ac:dyDescent="0.25">
      <c r="AJ120" s="1"/>
      <c r="AK120" s="1"/>
      <c r="AL120" s="1"/>
      <c r="AM120" s="1">
        <f>MIN(W61,Y61)</f>
        <v>19098171.890000001</v>
      </c>
      <c r="AN120" s="1">
        <f>Y61-AM120</f>
        <v>0</v>
      </c>
      <c r="AO120" s="1">
        <f>W61-AM120</f>
        <v>1116920.1099999994</v>
      </c>
    </row>
    <row r="121" spans="36:41" x14ac:dyDescent="0.25">
      <c r="AJ121" s="1">
        <f>MIN(V62,X62)</f>
        <v>11677930</v>
      </c>
      <c r="AK121" s="1">
        <f>X62-AJ121</f>
        <v>837663.80000000075</v>
      </c>
      <c r="AL121" s="1">
        <f>V62-AJ121</f>
        <v>0</v>
      </c>
      <c r="AM121" s="1"/>
      <c r="AN121" s="1"/>
      <c r="AO121" s="1"/>
    </row>
    <row r="122" spans="36:41" x14ac:dyDescent="0.25">
      <c r="AJ122" s="1"/>
      <c r="AK122" s="1"/>
      <c r="AL122" s="1"/>
      <c r="AM122" s="1">
        <f>MIN(W62,Y62)</f>
        <v>12024786.199999999</v>
      </c>
      <c r="AN122" s="1">
        <f>Y62-AM122</f>
        <v>0</v>
      </c>
      <c r="AO122" s="1">
        <f>W62-AM122</f>
        <v>837663.80000000075</v>
      </c>
    </row>
    <row r="123" spans="36:41" x14ac:dyDescent="0.25">
      <c r="AJ123" s="1">
        <f>MIN(V63,X63)</f>
        <v>25969673</v>
      </c>
      <c r="AK123" s="1">
        <f>X63-AJ123</f>
        <v>97335.309999998659</v>
      </c>
      <c r="AL123" s="1">
        <f>V63-AJ123</f>
        <v>0</v>
      </c>
      <c r="AM123" s="1"/>
      <c r="AN123" s="1"/>
      <c r="AO123" s="1"/>
    </row>
    <row r="124" spans="36:41" x14ac:dyDescent="0.25">
      <c r="AJ124" s="1"/>
      <c r="AK124" s="1"/>
      <c r="AL124" s="1"/>
      <c r="AM124" s="1">
        <f>MIN(W63,Y63)</f>
        <v>25044772.690000001</v>
      </c>
      <c r="AN124" s="1">
        <f>Y63-AM124</f>
        <v>0</v>
      </c>
      <c r="AO124" s="1">
        <f>W63-AM124</f>
        <v>97335.309999998659</v>
      </c>
    </row>
    <row r="125" spans="36:41" x14ac:dyDescent="0.25">
      <c r="AJ125" s="1">
        <f>MIN(V64,X64)</f>
        <v>63135869.730000004</v>
      </c>
      <c r="AK125" s="1">
        <f>X64-AJ125</f>
        <v>0</v>
      </c>
      <c r="AL125" s="1">
        <f>V64-AJ125</f>
        <v>9636489.2699999958</v>
      </c>
      <c r="AM125" s="1"/>
      <c r="AN125" s="1"/>
      <c r="AO125" s="1"/>
    </row>
    <row r="126" spans="36:41" x14ac:dyDescent="0.25">
      <c r="AJ126" s="1"/>
      <c r="AK126" s="1"/>
      <c r="AL126" s="1"/>
      <c r="AM126" s="1">
        <f>MIN(W64,Y64)</f>
        <v>51023464</v>
      </c>
      <c r="AN126" s="1">
        <f>Y64-AM126</f>
        <v>9636489.2699999958</v>
      </c>
      <c r="AO126" s="1">
        <f>W64-AM126</f>
        <v>0</v>
      </c>
    </row>
    <row r="127" spans="36:41" x14ac:dyDescent="0.25">
      <c r="AJ127" s="1">
        <f>MIN(V65,X65)</f>
        <v>10236002</v>
      </c>
      <c r="AK127" s="1">
        <f>X65-AJ127</f>
        <v>405750.8200000003</v>
      </c>
      <c r="AL127" s="1">
        <f>V65-AJ127</f>
        <v>0</v>
      </c>
      <c r="AM127" s="1"/>
      <c r="AN127" s="1"/>
      <c r="AO127" s="1"/>
    </row>
    <row r="128" spans="36:41" x14ac:dyDescent="0.25">
      <c r="AJ128" s="1"/>
      <c r="AK128" s="1"/>
      <c r="AL128" s="1"/>
      <c r="AM128" s="1">
        <f>MIN(W65,Y65)</f>
        <v>10224429.18</v>
      </c>
      <c r="AN128" s="1">
        <f>Y65-AM128</f>
        <v>0</v>
      </c>
      <c r="AO128" s="1">
        <f>W65-AM128</f>
        <v>405750.8200000003</v>
      </c>
    </row>
    <row r="129" spans="36:41" x14ac:dyDescent="0.25">
      <c r="AJ129" s="1">
        <f>MIN(V66,X66)</f>
        <v>20347696.440000001</v>
      </c>
      <c r="AK129" s="1">
        <f>X66-AJ129</f>
        <v>0</v>
      </c>
      <c r="AL129" s="1">
        <f>V66-AJ129</f>
        <v>706679.55999999866</v>
      </c>
      <c r="AM129" s="1"/>
      <c r="AN129" s="1"/>
      <c r="AO129" s="1"/>
    </row>
    <row r="130" spans="36:41" x14ac:dyDescent="0.25">
      <c r="AJ130" s="1"/>
      <c r="AK130" s="1"/>
      <c r="AL130" s="1"/>
      <c r="AM130" s="1">
        <f>MIN(W66,Y66)</f>
        <v>18843068</v>
      </c>
      <c r="AN130" s="1">
        <f>Y66-AM130</f>
        <v>706679.55999999866</v>
      </c>
      <c r="AO130" s="1">
        <f>W66-AM130</f>
        <v>0</v>
      </c>
    </row>
    <row r="131" spans="36:41" x14ac:dyDescent="0.25">
      <c r="AJ131" s="1">
        <f>MIN(V67,X67)</f>
        <v>20784308</v>
      </c>
      <c r="AK131" s="1">
        <f>X67-AJ131</f>
        <v>1064362.3000000007</v>
      </c>
      <c r="AL131" s="1">
        <f>V67-AJ131</f>
        <v>0</v>
      </c>
      <c r="AM131" s="1"/>
      <c r="AN131" s="1"/>
      <c r="AO131" s="1"/>
    </row>
    <row r="132" spans="36:41" x14ac:dyDescent="0.25">
      <c r="AJ132" s="1"/>
      <c r="AK132" s="1"/>
      <c r="AL132" s="1"/>
      <c r="AM132" s="1">
        <f>MIN(W67,Y67)</f>
        <v>20991859.699999999</v>
      </c>
      <c r="AN132" s="1">
        <f>Y67-AM132</f>
        <v>0</v>
      </c>
      <c r="AO132" s="1">
        <f>W67-AM132</f>
        <v>1064362.3000000007</v>
      </c>
    </row>
    <row r="133" spans="36:41" x14ac:dyDescent="0.25">
      <c r="AJ133" s="1">
        <f>MIN(V68,X68)</f>
        <v>25837287</v>
      </c>
      <c r="AK133" s="1">
        <f>X68-AJ133</f>
        <v>789541.6799999997</v>
      </c>
      <c r="AL133" s="1">
        <f>V68-AJ133</f>
        <v>0</v>
      </c>
      <c r="AM133" s="1"/>
      <c r="AN133" s="1"/>
      <c r="AO133" s="1"/>
    </row>
    <row r="134" spans="36:41" x14ac:dyDescent="0.25">
      <c r="AJ134" s="1"/>
      <c r="AK134" s="1"/>
      <c r="AL134" s="1"/>
      <c r="AM134" s="1">
        <f>MIN(W68,Y68)</f>
        <v>25582639.32</v>
      </c>
      <c r="AN134" s="1">
        <f>Y68-AM134</f>
        <v>0</v>
      </c>
      <c r="AO134" s="1">
        <f>W68-AM134</f>
        <v>789541.6799999997</v>
      </c>
    </row>
    <row r="135" spans="36:41" x14ac:dyDescent="0.25">
      <c r="AJ135" s="1">
        <f>MIN(V69,X69)</f>
        <v>28532193</v>
      </c>
      <c r="AK135" s="1">
        <f>X69-AJ135</f>
        <v>2657877.5100000016</v>
      </c>
      <c r="AL135" s="1">
        <f>V69-AJ135</f>
        <v>0</v>
      </c>
      <c r="AM135" s="1"/>
      <c r="AN135" s="1"/>
      <c r="AO135" s="1"/>
    </row>
    <row r="136" spans="36:41" x14ac:dyDescent="0.25">
      <c r="AJ136" s="1"/>
      <c r="AK136" s="1"/>
      <c r="AL136" s="1"/>
      <c r="AM136" s="1">
        <f>MIN(W69,Y69)</f>
        <v>29966930.489999998</v>
      </c>
      <c r="AN136" s="1">
        <f>Y69-AM136</f>
        <v>0</v>
      </c>
      <c r="AO136" s="1">
        <f>W69-AM136</f>
        <v>2657877.5100000016</v>
      </c>
    </row>
    <row r="137" spans="36:41" x14ac:dyDescent="0.25">
      <c r="AJ137" s="1">
        <f>MIN(V70,X70)</f>
        <v>17541998</v>
      </c>
      <c r="AK137" s="1">
        <f>X70-AJ137</f>
        <v>178737.39999999851</v>
      </c>
      <c r="AL137" s="1">
        <f>V70-AJ137</f>
        <v>0</v>
      </c>
      <c r="AM137" s="1"/>
      <c r="AN137" s="1"/>
      <c r="AO137" s="1"/>
    </row>
    <row r="138" spans="36:41" x14ac:dyDescent="0.25">
      <c r="AJ138" s="1"/>
      <c r="AK138" s="1"/>
      <c r="AL138" s="1"/>
      <c r="AM138" s="1">
        <f>MIN(W70,Y70)</f>
        <v>17025804.600000001</v>
      </c>
      <c r="AN138" s="1">
        <f>Y70-AM138</f>
        <v>0</v>
      </c>
      <c r="AO138" s="1">
        <f>W70-AM138</f>
        <v>178737.39999999851</v>
      </c>
    </row>
    <row r="139" spans="36:41" x14ac:dyDescent="0.25">
      <c r="AJ139" s="1">
        <f>MIN(V71,X71)</f>
        <v>15496727.4</v>
      </c>
      <c r="AK139" s="1">
        <f>X71-AJ139</f>
        <v>0</v>
      </c>
      <c r="AL139" s="1">
        <f>V71-AJ139</f>
        <v>1000554.5999999996</v>
      </c>
      <c r="AM139" s="1"/>
      <c r="AN139" s="1"/>
      <c r="AO139" s="1"/>
    </row>
    <row r="140" spans="36:41" x14ac:dyDescent="0.25">
      <c r="AJ140" s="1"/>
      <c r="AK140" s="1"/>
      <c r="AL140" s="1"/>
      <c r="AM140" s="1">
        <f>MIN(W71,Y71)</f>
        <v>13888458</v>
      </c>
      <c r="AN140" s="1">
        <f>Y71-AM140</f>
        <v>1000554.5999999996</v>
      </c>
      <c r="AO140" s="1">
        <f>W71-AM140</f>
        <v>0</v>
      </c>
    </row>
    <row r="141" spans="36:41" x14ac:dyDescent="0.25">
      <c r="AJ141" s="1">
        <f>MIN(V72,X72)</f>
        <v>10683142.59</v>
      </c>
      <c r="AK141" s="1">
        <f>X72-AJ141</f>
        <v>1200768.2699999996</v>
      </c>
      <c r="AL141" s="1">
        <f>V72-AJ141</f>
        <v>0</v>
      </c>
      <c r="AM141" s="1"/>
      <c r="AN141" s="1"/>
      <c r="AO141" s="1"/>
    </row>
    <row r="142" spans="36:41" x14ac:dyDescent="0.25">
      <c r="AJ142" s="1"/>
      <c r="AK142" s="1"/>
      <c r="AL142" s="1"/>
      <c r="AM142" s="1">
        <f>MIN(W72,Y72)</f>
        <v>11417875.140000001</v>
      </c>
      <c r="AN142" s="1">
        <f>Y72-AM142</f>
        <v>0</v>
      </c>
      <c r="AO142" s="1">
        <f>W72-AM142</f>
        <v>1200768.2699999996</v>
      </c>
    </row>
    <row r="143" spans="36:41" x14ac:dyDescent="0.25">
      <c r="AJ143" s="1">
        <f>MIN(V73,X73)</f>
        <v>19280160</v>
      </c>
      <c r="AK143" s="1">
        <f>X73-AJ143</f>
        <v>378507.05999999866</v>
      </c>
      <c r="AL143" s="1">
        <f>V73-AJ143</f>
        <v>0</v>
      </c>
      <c r="AM143" s="1"/>
      <c r="AN143" s="1"/>
      <c r="AO143" s="1"/>
    </row>
    <row r="144" spans="36:41" x14ac:dyDescent="0.25">
      <c r="AJ144" s="1"/>
      <c r="AK144" s="1"/>
      <c r="AL144" s="1"/>
      <c r="AM144" s="1">
        <f>MIN(W73,Y73)</f>
        <v>18887738.940000001</v>
      </c>
      <c r="AN144" s="1">
        <f>Y73-AM144</f>
        <v>0</v>
      </c>
      <c r="AO144" s="1">
        <f>W73-AM144</f>
        <v>378507.05999999866</v>
      </c>
    </row>
    <row r="145" spans="36:41" x14ac:dyDescent="0.25">
      <c r="AJ145" s="1">
        <f>MIN(V74,X74)</f>
        <v>39157028.880000003</v>
      </c>
      <c r="AK145" s="1">
        <f>X74-AJ145</f>
        <v>0</v>
      </c>
      <c r="AL145" s="1">
        <f>V74-AJ145</f>
        <v>3926835.1199999973</v>
      </c>
      <c r="AM145" s="1"/>
      <c r="AN145" s="1"/>
      <c r="AO145" s="1"/>
    </row>
    <row r="146" spans="36:41" x14ac:dyDescent="0.25">
      <c r="AJ146" s="1"/>
      <c r="AK146" s="1"/>
      <c r="AL146" s="1"/>
      <c r="AM146" s="1">
        <f>MIN(W74,Y74)</f>
        <v>33694624</v>
      </c>
      <c r="AN146" s="1">
        <f>Y74-AM146</f>
        <v>3926835.1199999973</v>
      </c>
      <c r="AO146" s="1">
        <f>W74-AM146</f>
        <v>0</v>
      </c>
    </row>
    <row r="147" spans="36:41" x14ac:dyDescent="0.25">
      <c r="AJ147" s="1">
        <f>MIN(V75,X75)</f>
        <v>61752690</v>
      </c>
      <c r="AK147" s="1">
        <f>X75-AJ147</f>
        <v>6598127.6099999994</v>
      </c>
      <c r="AL147" s="1">
        <f>V75-AJ147</f>
        <v>0</v>
      </c>
      <c r="AM147" s="1"/>
      <c r="AN147" s="1"/>
      <c r="AO147" s="1"/>
    </row>
    <row r="148" spans="36:41" x14ac:dyDescent="0.25">
      <c r="AJ148" s="1"/>
      <c r="AK148" s="1"/>
      <c r="AL148" s="1"/>
      <c r="AM148" s="1">
        <f>MIN(W75,Y75)</f>
        <v>65670393.390000001</v>
      </c>
      <c r="AN148" s="1">
        <f>Y75-AM148</f>
        <v>0</v>
      </c>
      <c r="AO148" s="1">
        <f>W75-AM148</f>
        <v>6598127.6099999994</v>
      </c>
    </row>
    <row r="149" spans="36:41" x14ac:dyDescent="0.25">
      <c r="AJ149" s="1">
        <f>MIN(V76,X76)</f>
        <v>35712314.969999999</v>
      </c>
      <c r="AK149" s="1">
        <f>X76-AJ149</f>
        <v>0</v>
      </c>
      <c r="AL149" s="1">
        <f>V76-AJ149</f>
        <v>1441697.0300000012</v>
      </c>
      <c r="AM149" s="1"/>
      <c r="AN149" s="1"/>
      <c r="AO149" s="1"/>
    </row>
    <row r="150" spans="36:41" x14ac:dyDescent="0.25">
      <c r="AJ150" s="1"/>
      <c r="AK150" s="1"/>
      <c r="AL150" s="1"/>
      <c r="AM150" s="1">
        <f>MIN(W76,Y76)</f>
        <v>32870135</v>
      </c>
      <c r="AN150" s="1">
        <f>Y76-AM150</f>
        <v>1441697.0300000012</v>
      </c>
      <c r="AO150" s="1">
        <f>W76-AM150</f>
        <v>0</v>
      </c>
    </row>
    <row r="151" spans="36:41" x14ac:dyDescent="0.25">
      <c r="AJ151" s="1">
        <f>MIN(V77,X77)</f>
        <v>85849130</v>
      </c>
      <c r="AK151" s="1">
        <f>X77-AJ151</f>
        <v>7243816.3900000006</v>
      </c>
      <c r="AL151" s="1">
        <f>V77-AJ151</f>
        <v>0</v>
      </c>
      <c r="AM151" s="1"/>
      <c r="AN151" s="1"/>
      <c r="AO151" s="1"/>
    </row>
    <row r="152" spans="36:41" x14ac:dyDescent="0.25">
      <c r="AJ152" s="1"/>
      <c r="AK152" s="1"/>
      <c r="AL152" s="1"/>
      <c r="AM152" s="1">
        <f>MIN(W77,Y77)</f>
        <v>89442242.609999999</v>
      </c>
      <c r="AN152" s="1">
        <f>Y77-AM152</f>
        <v>0</v>
      </c>
      <c r="AO152" s="1">
        <f>W77-AM152</f>
        <v>7243816.3900000006</v>
      </c>
    </row>
    <row r="153" spans="36:41" x14ac:dyDescent="0.25">
      <c r="AJ153" s="1">
        <f>MIN(V78,X78)</f>
        <v>186208810.14000002</v>
      </c>
      <c r="AK153" s="1">
        <f>X78-AJ153</f>
        <v>0</v>
      </c>
      <c r="AL153" s="1">
        <f>V78-AJ153</f>
        <v>16759282.859999985</v>
      </c>
    </row>
    <row r="154" spans="36:41" x14ac:dyDescent="0.25">
      <c r="AJ154" s="1"/>
      <c r="AK154" s="1"/>
      <c r="AL154" s="1"/>
      <c r="AM154" s="1">
        <f>MIN(W78,Y78)</f>
        <v>162147221</v>
      </c>
      <c r="AN154" s="1">
        <f>Y78-AM154</f>
        <v>16759282.859999985</v>
      </c>
      <c r="AO154" s="1">
        <f>W78-AM154</f>
        <v>0</v>
      </c>
    </row>
    <row r="155" spans="36:41" x14ac:dyDescent="0.25">
      <c r="AJ155" s="1">
        <f>MIN(V79,X79)</f>
        <v>85114294.739999995</v>
      </c>
      <c r="AK155" s="1">
        <f>X79-AJ155</f>
        <v>0</v>
      </c>
      <c r="AL155" s="1">
        <f>V79-AJ155</f>
        <v>3663759.2600000054</v>
      </c>
    </row>
    <row r="156" spans="36:41" x14ac:dyDescent="0.25">
      <c r="AJ156" s="1"/>
      <c r="AK156" s="1"/>
      <c r="AL156" s="1"/>
      <c r="AM156" s="1">
        <f>MIN(W79,Y79)</f>
        <v>78112720</v>
      </c>
      <c r="AN156" s="1">
        <f>Y79-AM156</f>
        <v>3663759.2600000054</v>
      </c>
      <c r="AO156" s="1">
        <f>W79-AM156</f>
        <v>0</v>
      </c>
    </row>
    <row r="157" spans="36:41" x14ac:dyDescent="0.25">
      <c r="AJ157" s="1">
        <f>MIN(V80,X80)</f>
        <v>1191514445.901</v>
      </c>
      <c r="AK157" s="1">
        <f>X80-AJ157</f>
        <v>0</v>
      </c>
      <c r="AL157" s="1">
        <f>V80-AJ157</f>
        <v>18480055.763499975</v>
      </c>
      <c r="AM157" s="1"/>
      <c r="AN157" s="1"/>
      <c r="AO157" s="1"/>
    </row>
    <row r="158" spans="36:41" x14ac:dyDescent="0.25">
      <c r="AJ158" s="1"/>
      <c r="AK158" s="1"/>
      <c r="AL158" s="1"/>
      <c r="AM158" s="1">
        <f>MIN(W80,Y80)</f>
        <v>1126308333.4354999</v>
      </c>
      <c r="AN158" s="1">
        <f>Y80-AM158</f>
        <v>18480055.763499975</v>
      </c>
      <c r="AO158" s="1">
        <f>W80-AM158</f>
        <v>0</v>
      </c>
    </row>
    <row r="159" spans="36:41" x14ac:dyDescent="0.25">
      <c r="AJ159" s="1">
        <f>MIN(V81,X81)</f>
        <v>3256481913.3671594</v>
      </c>
      <c r="AK159" s="1">
        <f>X81-AJ159</f>
        <v>0</v>
      </c>
      <c r="AL159" s="1">
        <f>V81-AJ159</f>
        <v>7957492.0573410988</v>
      </c>
      <c r="AM159" s="1"/>
      <c r="AN159" s="1"/>
      <c r="AO159" s="1"/>
    </row>
    <row r="160" spans="36:41" x14ac:dyDescent="0.25">
      <c r="AM160" s="1">
        <f>MIN(W81,Y81)</f>
        <v>2880356205.1554999</v>
      </c>
      <c r="AN160" s="1">
        <f>Y81-AM160</f>
        <v>7957492.0573410988</v>
      </c>
      <c r="AO160" s="1">
        <f>W81-AM160</f>
        <v>0</v>
      </c>
    </row>
    <row r="164" spans="36:41" x14ac:dyDescent="0.25">
      <c r="AM164" s="1"/>
      <c r="AN164" s="1"/>
      <c r="AO164" s="1"/>
    </row>
    <row r="165" spans="36:41" x14ac:dyDescent="0.25">
      <c r="AJ165" s="1"/>
      <c r="AK165" s="1"/>
      <c r="AL165" s="1"/>
      <c r="AM165" s="1"/>
      <c r="AN165" s="1"/>
      <c r="AO165" s="1"/>
    </row>
    <row r="166" spans="36:41" x14ac:dyDescent="0.25">
      <c r="AJ166" s="1"/>
      <c r="AK166" s="1"/>
      <c r="AL166" s="1"/>
    </row>
  </sheetData>
  <sheetProtection sheet="1" objects="1" scenarios="1" sort="0"/>
  <sortState ref="A3:B80">
    <sortCondition ref="A3"/>
  </sortState>
  <conditionalFormatting sqref="AH3:AH81">
    <cfRule type="expression" dxfId="0" priority="1">
      <formula>AH3&lt;AG3</formula>
    </cfRule>
  </conditionalFormatting>
  <hyperlinks>
    <hyperlink ref="A1" location="Model!A3:B80" display="Step 3. Sort ascending A3:B80 by column A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83"/>
  <sheetViews>
    <sheetView topLeftCell="A55" workbookViewId="0">
      <selection activeCell="A2" sqref="A2"/>
    </sheetView>
  </sheetViews>
  <sheetFormatPr defaultRowHeight="15" x14ac:dyDescent="0.25"/>
  <cols>
    <col min="1" max="1" width="10.85546875" bestFit="1" customWidth="1"/>
    <col min="2" max="2" width="28.5703125" bestFit="1" customWidth="1"/>
    <col min="3" max="3" width="19.42578125" style="1" customWidth="1"/>
    <col min="4" max="4" width="16.140625" style="1" customWidth="1"/>
    <col min="5" max="5" width="16.140625" bestFit="1" customWidth="1"/>
    <col min="6" max="6" width="22.42578125" bestFit="1" customWidth="1"/>
    <col min="7" max="7" width="11" bestFit="1" customWidth="1"/>
    <col min="8" max="8" width="10" bestFit="1" customWidth="1"/>
    <col min="9" max="9" width="11" bestFit="1" customWidth="1"/>
    <col min="10" max="10" width="10" bestFit="1" customWidth="1"/>
    <col min="11" max="11" width="11" bestFit="1" customWidth="1"/>
    <col min="12" max="12" width="10" bestFit="1" customWidth="1"/>
    <col min="13" max="13" width="11" bestFit="1" customWidth="1"/>
    <col min="14" max="14" width="10" bestFit="1" customWidth="1"/>
    <col min="17" max="17" width="9.140625" customWidth="1"/>
    <col min="19" max="19" width="9.140625" customWidth="1"/>
  </cols>
  <sheetData>
    <row r="1" spans="1:21" x14ac:dyDescent="0.25">
      <c r="A1" s="85" t="s">
        <v>167</v>
      </c>
      <c r="B1" t="s">
        <v>78</v>
      </c>
      <c r="C1" s="6" t="s">
        <v>83</v>
      </c>
      <c r="D1" s="6" t="s">
        <v>80</v>
      </c>
      <c r="E1" s="6" t="s">
        <v>80</v>
      </c>
      <c r="F1" s="6" t="s">
        <v>81</v>
      </c>
      <c r="G1" s="6" t="s">
        <v>152</v>
      </c>
    </row>
    <row r="2" spans="1:21" x14ac:dyDescent="0.25">
      <c r="A2" s="85" t="s">
        <v>153</v>
      </c>
      <c r="B2" t="s">
        <v>79</v>
      </c>
      <c r="C2" s="80">
        <v>2014</v>
      </c>
      <c r="D2" s="81">
        <v>2014</v>
      </c>
      <c r="E2" s="80">
        <v>2014</v>
      </c>
      <c r="F2" s="80">
        <v>2013</v>
      </c>
      <c r="G2" s="80" t="s">
        <v>101</v>
      </c>
      <c r="H2" s="80" t="s">
        <v>101</v>
      </c>
      <c r="I2" s="80" t="s">
        <v>105</v>
      </c>
      <c r="J2" s="80" t="s">
        <v>105</v>
      </c>
      <c r="K2" s="80" t="s">
        <v>106</v>
      </c>
      <c r="L2" s="80" t="s">
        <v>106</v>
      </c>
      <c r="M2" s="80" t="s">
        <v>107</v>
      </c>
      <c r="N2" s="80" t="s">
        <v>107</v>
      </c>
      <c r="O2" t="s">
        <v>108</v>
      </c>
      <c r="P2" t="s">
        <v>108</v>
      </c>
      <c r="Q2" t="s">
        <v>108</v>
      </c>
      <c r="R2" t="s">
        <v>108</v>
      </c>
    </row>
    <row r="3" spans="1:21" x14ac:dyDescent="0.25">
      <c r="A3" t="s">
        <v>86</v>
      </c>
      <c r="B3" t="s">
        <v>87</v>
      </c>
      <c r="C3" s="6" t="s">
        <v>131</v>
      </c>
      <c r="D3" s="6" t="s">
        <v>77</v>
      </c>
      <c r="E3" s="6" t="s">
        <v>82</v>
      </c>
      <c r="F3" s="6" t="s">
        <v>84</v>
      </c>
      <c r="G3" s="6" t="s">
        <v>102</v>
      </c>
      <c r="H3" s="6" t="s">
        <v>103</v>
      </c>
      <c r="I3" s="6" t="s">
        <v>102</v>
      </c>
      <c r="J3" s="6" t="s">
        <v>103</v>
      </c>
      <c r="K3" s="6" t="s">
        <v>102</v>
      </c>
      <c r="L3" s="6" t="s">
        <v>103</v>
      </c>
      <c r="M3" s="6" t="s">
        <v>102</v>
      </c>
      <c r="N3" s="6" t="s">
        <v>103</v>
      </c>
      <c r="O3" t="s">
        <v>102</v>
      </c>
      <c r="P3" t="s">
        <v>103</v>
      </c>
      <c r="Q3" t="s">
        <v>114</v>
      </c>
      <c r="R3" t="s">
        <v>104</v>
      </c>
      <c r="S3" t="s">
        <v>132</v>
      </c>
      <c r="T3" s="1" t="s">
        <v>142</v>
      </c>
    </row>
    <row r="4" spans="1:21" x14ac:dyDescent="0.25">
      <c r="A4">
        <v>1</v>
      </c>
      <c r="B4" t="s">
        <v>0</v>
      </c>
      <c r="C4" s="80">
        <v>2545</v>
      </c>
      <c r="D4" s="80">
        <v>12884686828</v>
      </c>
      <c r="E4" s="80">
        <v>36354</v>
      </c>
      <c r="F4" s="82">
        <v>1076.2095074209508</v>
      </c>
      <c r="G4" s="80">
        <v>24592824</v>
      </c>
      <c r="H4" s="80">
        <v>14478139</v>
      </c>
      <c r="I4" s="80">
        <v>25527552</v>
      </c>
      <c r="J4" s="80">
        <v>15071796</v>
      </c>
      <c r="K4" s="80">
        <v>25530890</v>
      </c>
      <c r="L4" s="80">
        <v>14664286</v>
      </c>
      <c r="M4" s="80">
        <v>21993921</v>
      </c>
      <c r="N4" s="80">
        <v>12317569</v>
      </c>
      <c r="O4">
        <f t="shared" ref="O4:O35" si="0">SUM(G4,I4,K4,M4)</f>
        <v>97645187</v>
      </c>
      <c r="P4">
        <f t="shared" ref="P4:P35" si="1">SUM(H4,J4,L4,N4)</f>
        <v>56531790</v>
      </c>
      <c r="Q4" s="3">
        <f>O4-P4</f>
        <v>41113397</v>
      </c>
      <c r="R4" s="2">
        <f t="shared" ref="R4:R35" si="2">P4/O4</f>
        <v>0.57895111614666683</v>
      </c>
      <c r="S4">
        <f t="shared" ref="S4:S35" si="3">C4/D4</f>
        <v>1.9752129283184468E-7</v>
      </c>
      <c r="T4" s="1">
        <v>81</v>
      </c>
      <c r="U4" s="1"/>
    </row>
    <row r="5" spans="1:21" x14ac:dyDescent="0.25">
      <c r="A5">
        <v>2</v>
      </c>
      <c r="B5" t="s">
        <v>1</v>
      </c>
      <c r="C5" s="80">
        <v>1567</v>
      </c>
      <c r="D5" s="80">
        <v>6187497807</v>
      </c>
      <c r="E5" s="80">
        <v>14146</v>
      </c>
      <c r="F5" s="82">
        <v>1020.0784638304916</v>
      </c>
      <c r="G5" s="80">
        <v>16745194</v>
      </c>
      <c r="H5" s="80">
        <v>10403574</v>
      </c>
      <c r="I5" s="80">
        <v>16188473</v>
      </c>
      <c r="J5" s="80">
        <v>9982226</v>
      </c>
      <c r="K5" s="80">
        <v>13720012</v>
      </c>
      <c r="L5" s="80">
        <v>8319308</v>
      </c>
      <c r="M5" s="80">
        <v>10632441</v>
      </c>
      <c r="N5" s="80">
        <v>6318607</v>
      </c>
      <c r="O5">
        <f t="shared" si="0"/>
        <v>57286120</v>
      </c>
      <c r="P5">
        <f t="shared" si="1"/>
        <v>35023715</v>
      </c>
      <c r="Q5" s="3">
        <f t="shared" ref="Q5:Q68" si="4">O5-P5</f>
        <v>22262405</v>
      </c>
      <c r="R5" s="2">
        <f t="shared" si="2"/>
        <v>0.6113822161459006</v>
      </c>
      <c r="S5" s="1">
        <f t="shared" si="3"/>
        <v>2.5325261501139146E-7</v>
      </c>
      <c r="T5" s="1">
        <v>81</v>
      </c>
    </row>
    <row r="6" spans="1:21" x14ac:dyDescent="0.25">
      <c r="A6">
        <v>3</v>
      </c>
      <c r="B6" t="s">
        <v>2</v>
      </c>
      <c r="C6" s="80">
        <v>1779</v>
      </c>
      <c r="D6" s="80">
        <v>17972107800</v>
      </c>
      <c r="E6" s="80">
        <v>40272</v>
      </c>
      <c r="F6" s="82">
        <v>1021.9225861163833</v>
      </c>
      <c r="G6" s="80">
        <v>21881297</v>
      </c>
      <c r="H6" s="80">
        <v>11947675</v>
      </c>
      <c r="I6" s="80">
        <v>28961958</v>
      </c>
      <c r="J6" s="80">
        <v>16328687</v>
      </c>
      <c r="K6" s="80">
        <v>31918250</v>
      </c>
      <c r="L6" s="80">
        <v>16858050</v>
      </c>
      <c r="M6" s="80">
        <v>34130303</v>
      </c>
      <c r="N6" s="80">
        <v>17335558</v>
      </c>
      <c r="O6">
        <f t="shared" si="0"/>
        <v>116891808</v>
      </c>
      <c r="P6">
        <f t="shared" si="1"/>
        <v>62469970</v>
      </c>
      <c r="Q6" s="3">
        <f t="shared" si="4"/>
        <v>54421838</v>
      </c>
      <c r="R6" s="2">
        <f t="shared" si="2"/>
        <v>0.53442556042935019</v>
      </c>
      <c r="S6" s="1">
        <f t="shared" si="3"/>
        <v>9.8986719854863103E-8</v>
      </c>
      <c r="T6" s="1">
        <v>81</v>
      </c>
    </row>
    <row r="7" spans="1:21" x14ac:dyDescent="0.25">
      <c r="A7">
        <v>4</v>
      </c>
      <c r="B7" t="s">
        <v>3</v>
      </c>
      <c r="C7" s="80">
        <v>7221</v>
      </c>
      <c r="D7" s="80">
        <v>453018480633</v>
      </c>
      <c r="E7" s="80">
        <v>524102</v>
      </c>
      <c r="F7" s="82">
        <v>998.00934646069493</v>
      </c>
      <c r="G7" s="80">
        <v>557627220.22000003</v>
      </c>
      <c r="H7" s="80">
        <v>290601636.21000004</v>
      </c>
      <c r="I7" s="80">
        <v>551041699.88</v>
      </c>
      <c r="J7" s="80">
        <v>285596106.75999999</v>
      </c>
      <c r="K7" s="80">
        <v>508630641</v>
      </c>
      <c r="L7" s="80">
        <v>262741616.69450003</v>
      </c>
      <c r="M7" s="80">
        <v>719003274</v>
      </c>
      <c r="N7" s="80">
        <v>371055142</v>
      </c>
      <c r="O7">
        <f t="shared" si="0"/>
        <v>2336302835.0999999</v>
      </c>
      <c r="P7">
        <f t="shared" si="1"/>
        <v>1209994501.6645</v>
      </c>
      <c r="Q7" s="3">
        <f t="shared" si="4"/>
        <v>1126308333.4354999</v>
      </c>
      <c r="R7" s="2">
        <f t="shared" si="2"/>
        <v>0.51790995734194234</v>
      </c>
      <c r="S7" s="1">
        <f t="shared" si="3"/>
        <v>1.5939747071488431E-8</v>
      </c>
      <c r="T7" s="1">
        <v>4</v>
      </c>
    </row>
    <row r="8" spans="1:21" x14ac:dyDescent="0.25">
      <c r="A8">
        <v>11</v>
      </c>
      <c r="B8" t="s">
        <v>4</v>
      </c>
      <c r="C8" s="80">
        <v>636</v>
      </c>
      <c r="D8" s="80">
        <v>25879196085</v>
      </c>
      <c r="E8" s="80">
        <v>55695</v>
      </c>
      <c r="F8" s="82">
        <v>1011.2324243470257</v>
      </c>
      <c r="G8" s="80">
        <v>21893199</v>
      </c>
      <c r="H8" s="80">
        <v>11097129</v>
      </c>
      <c r="I8" s="80">
        <v>45574060</v>
      </c>
      <c r="J8" s="80">
        <v>24074077</v>
      </c>
      <c r="K8" s="80">
        <v>46782968</v>
      </c>
      <c r="L8" s="80">
        <v>24765631.199999999</v>
      </c>
      <c r="M8" s="80">
        <v>36018581</v>
      </c>
      <c r="N8" s="80">
        <v>18614806.25</v>
      </c>
      <c r="O8">
        <f t="shared" si="0"/>
        <v>150268808</v>
      </c>
      <c r="P8">
        <f t="shared" si="1"/>
        <v>78551643.450000003</v>
      </c>
      <c r="Q8" s="3">
        <f t="shared" si="4"/>
        <v>71717164.549999997</v>
      </c>
      <c r="R8" s="2">
        <f t="shared" si="2"/>
        <v>0.52274084352888461</v>
      </c>
      <c r="S8" s="1">
        <f t="shared" si="3"/>
        <v>2.4575724760192062E-8</v>
      </c>
      <c r="T8" s="1">
        <v>83</v>
      </c>
      <c r="U8" s="1"/>
    </row>
    <row r="9" spans="1:21" x14ac:dyDescent="0.25">
      <c r="A9">
        <v>12</v>
      </c>
      <c r="B9" t="s">
        <v>5</v>
      </c>
      <c r="C9" s="80">
        <v>643</v>
      </c>
      <c r="D9" s="80">
        <v>5147850086</v>
      </c>
      <c r="E9" s="80">
        <v>11025</v>
      </c>
      <c r="F9" s="82">
        <v>1040.2874231032126</v>
      </c>
      <c r="G9" s="80">
        <v>5506510.9900000002</v>
      </c>
      <c r="H9" s="80">
        <v>2984866.49</v>
      </c>
      <c r="I9" s="80">
        <v>5123074.0199999996</v>
      </c>
      <c r="J9" s="80">
        <v>2806040.6799999997</v>
      </c>
      <c r="K9" s="80">
        <v>5773656</v>
      </c>
      <c r="L9" s="80">
        <v>3168204</v>
      </c>
      <c r="M9" s="80">
        <v>4442235</v>
      </c>
      <c r="N9" s="80">
        <v>2373282</v>
      </c>
      <c r="O9">
        <f t="shared" si="0"/>
        <v>20845476.009999998</v>
      </c>
      <c r="P9">
        <f t="shared" si="1"/>
        <v>11332393.17</v>
      </c>
      <c r="Q9" s="3">
        <f t="shared" si="4"/>
        <v>9513082.839999998</v>
      </c>
      <c r="R9" s="2">
        <f t="shared" si="2"/>
        <v>0.54363801357012054</v>
      </c>
      <c r="S9" s="1">
        <f t="shared" si="3"/>
        <v>1.2490651228338821E-7</v>
      </c>
      <c r="T9" s="1">
        <v>83</v>
      </c>
    </row>
    <row r="10" spans="1:21" x14ac:dyDescent="0.25">
      <c r="A10">
        <v>13</v>
      </c>
      <c r="B10" t="s">
        <v>6</v>
      </c>
      <c r="C10" s="80">
        <v>995</v>
      </c>
      <c r="D10" s="80">
        <v>10556407425</v>
      </c>
      <c r="E10" s="80">
        <v>14443</v>
      </c>
      <c r="F10" s="82">
        <v>986.98681148176877</v>
      </c>
      <c r="G10" s="80">
        <v>10646834</v>
      </c>
      <c r="H10" s="80">
        <v>5197903</v>
      </c>
      <c r="I10" s="80">
        <v>10722358</v>
      </c>
      <c r="J10" s="80">
        <v>5244203</v>
      </c>
      <c r="K10" s="80">
        <v>10522545</v>
      </c>
      <c r="L10" s="80">
        <v>5137337</v>
      </c>
      <c r="M10" s="80">
        <v>10484125</v>
      </c>
      <c r="N10" s="80">
        <v>5105590</v>
      </c>
      <c r="O10">
        <f t="shared" si="0"/>
        <v>42375862</v>
      </c>
      <c r="P10">
        <f t="shared" si="1"/>
        <v>20685033</v>
      </c>
      <c r="Q10" s="3">
        <f t="shared" si="4"/>
        <v>21690829</v>
      </c>
      <c r="R10" s="2">
        <f t="shared" si="2"/>
        <v>0.48813244200200578</v>
      </c>
      <c r="S10" s="1">
        <f t="shared" si="3"/>
        <v>9.4255551149305895E-8</v>
      </c>
      <c r="T10" s="1">
        <v>83</v>
      </c>
    </row>
    <row r="11" spans="1:21" x14ac:dyDescent="0.25">
      <c r="A11">
        <v>14</v>
      </c>
      <c r="B11" t="s">
        <v>7</v>
      </c>
      <c r="C11" s="80">
        <v>804</v>
      </c>
      <c r="D11" s="80">
        <v>3723968003</v>
      </c>
      <c r="E11" s="80">
        <v>5212</v>
      </c>
      <c r="F11" s="82">
        <v>1004.8161642928122</v>
      </c>
      <c r="G11" s="80">
        <v>4983227</v>
      </c>
      <c r="H11" s="80">
        <v>2678982</v>
      </c>
      <c r="I11" s="80">
        <v>5261060</v>
      </c>
      <c r="J11" s="80">
        <v>2832973</v>
      </c>
      <c r="K11" s="80">
        <v>5300950</v>
      </c>
      <c r="L11" s="80">
        <v>2836850</v>
      </c>
      <c r="M11" s="80">
        <v>4698149</v>
      </c>
      <c r="N11" s="80">
        <v>2479991</v>
      </c>
      <c r="O11">
        <f t="shared" si="0"/>
        <v>20243386</v>
      </c>
      <c r="P11">
        <f t="shared" si="1"/>
        <v>10828796</v>
      </c>
      <c r="Q11" s="3">
        <f t="shared" si="4"/>
        <v>9414590</v>
      </c>
      <c r="R11" s="2">
        <f t="shared" si="2"/>
        <v>0.53493007543303284</v>
      </c>
      <c r="S11" s="1">
        <f t="shared" si="3"/>
        <v>2.1589874009451848E-7</v>
      </c>
      <c r="T11" s="1">
        <v>83</v>
      </c>
    </row>
    <row r="12" spans="1:21" x14ac:dyDescent="0.25">
      <c r="A12">
        <v>15</v>
      </c>
      <c r="B12" t="s">
        <v>8</v>
      </c>
      <c r="C12" s="80">
        <v>510</v>
      </c>
      <c r="D12" s="80">
        <v>4502744864</v>
      </c>
      <c r="E12" s="80">
        <v>10130</v>
      </c>
      <c r="F12" s="82">
        <v>1059.7516848107828</v>
      </c>
      <c r="G12" s="80">
        <v>5055331</v>
      </c>
      <c r="H12" s="80">
        <v>2546931</v>
      </c>
      <c r="I12" s="80">
        <v>5090578</v>
      </c>
      <c r="J12" s="80">
        <v>2566102</v>
      </c>
      <c r="K12" s="80">
        <v>5219231</v>
      </c>
      <c r="L12" s="80">
        <v>2622019</v>
      </c>
      <c r="M12" s="80">
        <v>4820740</v>
      </c>
      <c r="N12" s="80">
        <v>2457831</v>
      </c>
      <c r="O12">
        <f t="shared" si="0"/>
        <v>20185880</v>
      </c>
      <c r="P12">
        <f t="shared" si="1"/>
        <v>10192883</v>
      </c>
      <c r="Q12" s="3">
        <f t="shared" si="4"/>
        <v>9992997</v>
      </c>
      <c r="R12" s="2">
        <f t="shared" si="2"/>
        <v>0.50495113415912507</v>
      </c>
      <c r="S12" s="1">
        <f t="shared" si="3"/>
        <v>1.1326424556663488E-7</v>
      </c>
      <c r="T12" s="1">
        <v>83</v>
      </c>
    </row>
    <row r="13" spans="1:21" x14ac:dyDescent="0.25">
      <c r="A13">
        <v>16</v>
      </c>
      <c r="B13" t="s">
        <v>9</v>
      </c>
      <c r="C13" s="80">
        <v>761</v>
      </c>
      <c r="D13" s="80">
        <v>13956226507</v>
      </c>
      <c r="E13" s="80">
        <v>22647</v>
      </c>
      <c r="F13" s="82">
        <v>1004.3522252160178</v>
      </c>
      <c r="G13" s="80">
        <v>66312932</v>
      </c>
      <c r="H13" s="80">
        <v>34751736.590000004</v>
      </c>
      <c r="I13" s="80">
        <v>24630478</v>
      </c>
      <c r="J13" s="80">
        <v>12692184.100000001</v>
      </c>
      <c r="K13" s="80">
        <v>6274610</v>
      </c>
      <c r="L13" s="80">
        <v>2959466</v>
      </c>
      <c r="M13" s="80">
        <v>4808173</v>
      </c>
      <c r="N13" s="80">
        <v>2129545</v>
      </c>
      <c r="O13">
        <f t="shared" si="0"/>
        <v>102026193</v>
      </c>
      <c r="P13">
        <f t="shared" si="1"/>
        <v>52532931.690000005</v>
      </c>
      <c r="Q13" s="3">
        <f t="shared" si="4"/>
        <v>49493261.309999995</v>
      </c>
      <c r="R13" s="2">
        <f t="shared" si="2"/>
        <v>0.51489651966137762</v>
      </c>
      <c r="S13" s="1">
        <f t="shared" si="3"/>
        <v>5.4527633212194322E-8</v>
      </c>
      <c r="T13" s="1">
        <v>83</v>
      </c>
    </row>
    <row r="14" spans="1:21" x14ac:dyDescent="0.25">
      <c r="A14">
        <v>17</v>
      </c>
      <c r="B14" t="s">
        <v>10</v>
      </c>
      <c r="C14" s="80">
        <v>686</v>
      </c>
      <c r="D14" s="80">
        <v>14453083751</v>
      </c>
      <c r="E14" s="80">
        <v>26982</v>
      </c>
      <c r="F14" s="82">
        <v>1009.5400444288554</v>
      </c>
      <c r="G14" s="80">
        <v>10804463</v>
      </c>
      <c r="H14" s="80">
        <v>4774444</v>
      </c>
      <c r="I14" s="80">
        <v>10312369</v>
      </c>
      <c r="J14" s="80">
        <v>4566094</v>
      </c>
      <c r="K14" s="80">
        <v>11193099</v>
      </c>
      <c r="L14" s="80">
        <v>5001239</v>
      </c>
      <c r="M14" s="80">
        <v>10528255</v>
      </c>
      <c r="N14" s="80">
        <v>4663126</v>
      </c>
      <c r="O14">
        <f t="shared" si="0"/>
        <v>42838186</v>
      </c>
      <c r="P14">
        <f t="shared" si="1"/>
        <v>19004903</v>
      </c>
      <c r="Q14" s="3">
        <f t="shared" si="4"/>
        <v>23833283</v>
      </c>
      <c r="R14" s="2">
        <f t="shared" si="2"/>
        <v>0.4436439722260882</v>
      </c>
      <c r="S14" s="1">
        <f t="shared" si="3"/>
        <v>4.7463919245090933E-8</v>
      </c>
      <c r="T14" s="1">
        <v>83</v>
      </c>
    </row>
    <row r="15" spans="1:21" x14ac:dyDescent="0.25">
      <c r="A15">
        <v>18</v>
      </c>
      <c r="B15" t="s">
        <v>11</v>
      </c>
      <c r="C15" s="80">
        <v>2414</v>
      </c>
      <c r="D15" s="80">
        <v>19322034266</v>
      </c>
      <c r="E15" s="80">
        <v>29906</v>
      </c>
      <c r="F15" s="82">
        <v>1004.4058848299821</v>
      </c>
      <c r="G15" s="80">
        <v>28463040.539999999</v>
      </c>
      <c r="H15" s="80">
        <v>15006873.300000001</v>
      </c>
      <c r="I15" s="80">
        <v>28606298.93</v>
      </c>
      <c r="J15" s="80">
        <v>15144551.559999999</v>
      </c>
      <c r="K15" s="80">
        <v>28841744</v>
      </c>
      <c r="L15" s="80">
        <v>15301360</v>
      </c>
      <c r="M15" s="80">
        <v>27364138</v>
      </c>
      <c r="N15" s="80">
        <v>14855906</v>
      </c>
      <c r="O15">
        <f t="shared" si="0"/>
        <v>113275221.47</v>
      </c>
      <c r="P15">
        <f t="shared" si="1"/>
        <v>60308690.859999999</v>
      </c>
      <c r="Q15" s="3">
        <f t="shared" si="4"/>
        <v>52966530.609999999</v>
      </c>
      <c r="R15" s="2">
        <f t="shared" si="2"/>
        <v>0.53240850097099346</v>
      </c>
      <c r="S15" s="1">
        <f t="shared" si="3"/>
        <v>1.249350853418055E-7</v>
      </c>
      <c r="T15" s="1">
        <v>83</v>
      </c>
    </row>
    <row r="16" spans="1:21" x14ac:dyDescent="0.25">
      <c r="A16">
        <v>19</v>
      </c>
      <c r="B16" t="s">
        <v>12</v>
      </c>
      <c r="C16" s="80">
        <v>1071</v>
      </c>
      <c r="D16" s="80">
        <v>13212972849</v>
      </c>
      <c r="E16" s="80">
        <v>20625</v>
      </c>
      <c r="F16" s="82">
        <v>965.15568691688622</v>
      </c>
      <c r="G16" s="80">
        <v>12336991</v>
      </c>
      <c r="H16" s="80">
        <v>6142324</v>
      </c>
      <c r="I16" s="80">
        <v>11593236</v>
      </c>
      <c r="J16" s="80">
        <v>5705276</v>
      </c>
      <c r="K16" s="80">
        <v>15780547</v>
      </c>
      <c r="L16" s="80">
        <v>7781529</v>
      </c>
      <c r="M16" s="80">
        <v>12498694</v>
      </c>
      <c r="N16" s="80">
        <v>6208158</v>
      </c>
      <c r="O16">
        <f t="shared" si="0"/>
        <v>52209468</v>
      </c>
      <c r="P16">
        <f t="shared" si="1"/>
        <v>25837287</v>
      </c>
      <c r="Q16" s="3">
        <f t="shared" si="4"/>
        <v>26372181</v>
      </c>
      <c r="R16" s="2">
        <f t="shared" si="2"/>
        <v>0.49487742338228768</v>
      </c>
      <c r="S16" s="1">
        <f t="shared" si="3"/>
        <v>8.1056701791456174E-8</v>
      </c>
      <c r="T16" s="1">
        <v>83</v>
      </c>
    </row>
    <row r="17" spans="1:21" x14ac:dyDescent="0.25">
      <c r="A17">
        <v>20</v>
      </c>
      <c r="B17" t="s">
        <v>13</v>
      </c>
      <c r="C17" s="80">
        <v>1071</v>
      </c>
      <c r="D17" s="80">
        <v>2889268630</v>
      </c>
      <c r="E17" s="80">
        <v>5803</v>
      </c>
      <c r="F17" s="82">
        <v>1051.6662480376765</v>
      </c>
      <c r="G17" s="80">
        <v>7196417</v>
      </c>
      <c r="H17" s="80">
        <v>4229677</v>
      </c>
      <c r="I17" s="80">
        <v>7819862</v>
      </c>
      <c r="J17" s="80">
        <v>4569181</v>
      </c>
      <c r="K17" s="80">
        <v>8254431</v>
      </c>
      <c r="L17" s="80">
        <v>4821031</v>
      </c>
      <c r="M17" s="80">
        <v>7200500</v>
      </c>
      <c r="N17" s="80">
        <v>4272352</v>
      </c>
      <c r="O17">
        <f t="shared" si="0"/>
        <v>30471210</v>
      </c>
      <c r="P17">
        <f t="shared" si="1"/>
        <v>17892241</v>
      </c>
      <c r="Q17" s="3">
        <f t="shared" si="4"/>
        <v>12578969</v>
      </c>
      <c r="R17" s="2">
        <f t="shared" si="2"/>
        <v>0.58718511670524409</v>
      </c>
      <c r="S17" s="1">
        <f t="shared" si="3"/>
        <v>3.7068204350386071E-7</v>
      </c>
      <c r="T17" s="1">
        <v>83</v>
      </c>
    </row>
    <row r="18" spans="1:21" x14ac:dyDescent="0.25">
      <c r="A18">
        <v>21</v>
      </c>
      <c r="B18" t="s">
        <v>14</v>
      </c>
      <c r="C18" s="80">
        <v>40</v>
      </c>
      <c r="D18" s="80">
        <v>480205750</v>
      </c>
      <c r="E18" s="80">
        <v>2897</v>
      </c>
      <c r="F18" s="82">
        <v>1148.7324066029539</v>
      </c>
      <c r="G18" s="80">
        <v>448315</v>
      </c>
      <c r="H18" s="80">
        <v>301685</v>
      </c>
      <c r="I18" s="80">
        <v>524652</v>
      </c>
      <c r="J18" s="80">
        <v>356469</v>
      </c>
      <c r="K18" s="80">
        <v>492254</v>
      </c>
      <c r="L18" s="80">
        <v>334402</v>
      </c>
      <c r="M18" s="80">
        <v>460137</v>
      </c>
      <c r="N18" s="80">
        <v>306370</v>
      </c>
      <c r="O18">
        <f t="shared" si="0"/>
        <v>1925358</v>
      </c>
      <c r="P18">
        <f t="shared" si="1"/>
        <v>1298926</v>
      </c>
      <c r="Q18" s="3">
        <f t="shared" si="4"/>
        <v>626432</v>
      </c>
      <c r="R18" s="2">
        <f t="shared" si="2"/>
        <v>0.6746412874904304</v>
      </c>
      <c r="S18" s="1">
        <f t="shared" si="3"/>
        <v>8.3297628152099387E-8</v>
      </c>
      <c r="T18" s="1">
        <v>84</v>
      </c>
    </row>
    <row r="19" spans="1:21" x14ac:dyDescent="0.25">
      <c r="A19">
        <v>22</v>
      </c>
      <c r="B19" t="s">
        <v>15</v>
      </c>
      <c r="C19" s="80">
        <v>337</v>
      </c>
      <c r="D19" s="80">
        <v>1650612465</v>
      </c>
      <c r="E19" s="80">
        <v>5593</v>
      </c>
      <c r="F19" s="82">
        <v>1145.6655439541933</v>
      </c>
      <c r="G19" s="80">
        <v>2051580</v>
      </c>
      <c r="H19" s="80">
        <v>1056305</v>
      </c>
      <c r="I19" s="80">
        <v>2186430</v>
      </c>
      <c r="J19" s="80">
        <v>1123231</v>
      </c>
      <c r="K19" s="80">
        <v>2269249</v>
      </c>
      <c r="L19" s="80">
        <v>1170652</v>
      </c>
      <c r="M19" s="80">
        <v>2236911</v>
      </c>
      <c r="N19" s="80">
        <v>1127430</v>
      </c>
      <c r="O19">
        <f t="shared" si="0"/>
        <v>8744170</v>
      </c>
      <c r="P19">
        <f t="shared" si="1"/>
        <v>4477618</v>
      </c>
      <c r="Q19" s="3">
        <f t="shared" si="4"/>
        <v>4266552</v>
      </c>
      <c r="R19" s="2">
        <f t="shared" si="2"/>
        <v>0.51206895565845589</v>
      </c>
      <c r="S19" s="1">
        <f t="shared" si="3"/>
        <v>2.0416663944192376E-7</v>
      </c>
      <c r="T19" s="1">
        <v>84</v>
      </c>
    </row>
    <row r="20" spans="1:21" x14ac:dyDescent="0.25">
      <c r="A20">
        <v>23</v>
      </c>
      <c r="B20" t="s">
        <v>16</v>
      </c>
      <c r="C20" s="80">
        <v>1005</v>
      </c>
      <c r="D20" s="80">
        <v>12103207950</v>
      </c>
      <c r="E20" s="80">
        <v>29369</v>
      </c>
      <c r="F20" s="82">
        <v>1034.2189018241818</v>
      </c>
      <c r="G20" s="80">
        <v>11384724</v>
      </c>
      <c r="H20" s="80">
        <v>5497269</v>
      </c>
      <c r="I20" s="80">
        <v>10981629</v>
      </c>
      <c r="J20" s="80">
        <v>5273107</v>
      </c>
      <c r="K20" s="80">
        <v>14361550</v>
      </c>
      <c r="L20" s="80">
        <v>7178248</v>
      </c>
      <c r="M20" s="80">
        <v>15960753</v>
      </c>
      <c r="N20" s="80">
        <v>8073316</v>
      </c>
      <c r="O20">
        <f t="shared" si="0"/>
        <v>52688656</v>
      </c>
      <c r="P20">
        <f t="shared" si="1"/>
        <v>26021940</v>
      </c>
      <c r="Q20" s="3">
        <f t="shared" si="4"/>
        <v>26666716</v>
      </c>
      <c r="R20" s="2">
        <f t="shared" si="2"/>
        <v>0.49388126354940615</v>
      </c>
      <c r="S20" s="1">
        <f t="shared" si="3"/>
        <v>8.3035836792343964E-8</v>
      </c>
      <c r="T20" s="1">
        <v>83</v>
      </c>
    </row>
    <row r="21" spans="1:21" x14ac:dyDescent="0.25">
      <c r="A21">
        <v>24</v>
      </c>
      <c r="B21" t="s">
        <v>17</v>
      </c>
      <c r="C21" s="80">
        <v>537</v>
      </c>
      <c r="D21" s="80">
        <v>29324115589</v>
      </c>
      <c r="E21" s="80">
        <v>52325</v>
      </c>
      <c r="F21" s="82">
        <v>990.17989647494289</v>
      </c>
      <c r="G21" s="80">
        <v>15018617</v>
      </c>
      <c r="H21" s="80">
        <v>7066218</v>
      </c>
      <c r="I21" s="80">
        <v>17713396</v>
      </c>
      <c r="J21" s="80">
        <v>8453983</v>
      </c>
      <c r="K21" s="80">
        <v>13350578</v>
      </c>
      <c r="L21" s="80">
        <v>6155693</v>
      </c>
      <c r="M21" s="80">
        <v>15074410</v>
      </c>
      <c r="N21" s="80">
        <v>6856299</v>
      </c>
      <c r="O21">
        <f t="shared" si="0"/>
        <v>61157001</v>
      </c>
      <c r="P21">
        <f t="shared" si="1"/>
        <v>28532193</v>
      </c>
      <c r="Q21" s="3">
        <f t="shared" si="4"/>
        <v>32624808</v>
      </c>
      <c r="R21" s="2">
        <f t="shared" si="2"/>
        <v>0.46654009407688257</v>
      </c>
      <c r="S21" s="1">
        <f t="shared" si="3"/>
        <v>1.8312572748193582E-8</v>
      </c>
      <c r="T21" s="1">
        <v>84</v>
      </c>
      <c r="U21" s="1"/>
    </row>
    <row r="22" spans="1:21" x14ac:dyDescent="0.25">
      <c r="A22">
        <v>25</v>
      </c>
      <c r="B22" t="s">
        <v>18</v>
      </c>
      <c r="C22" s="80">
        <v>1030</v>
      </c>
      <c r="D22" s="80">
        <v>13541085722</v>
      </c>
      <c r="E22" s="80">
        <v>22591</v>
      </c>
      <c r="F22" s="82">
        <v>981.604731430215</v>
      </c>
      <c r="G22" s="80">
        <v>12537386</v>
      </c>
      <c r="H22" s="80">
        <v>5723334</v>
      </c>
      <c r="I22" s="80">
        <v>13939226</v>
      </c>
      <c r="J22" s="80">
        <v>6416157</v>
      </c>
      <c r="K22" s="80">
        <v>15242102</v>
      </c>
      <c r="L22" s="80">
        <v>7170962</v>
      </c>
      <c r="M22" s="80">
        <v>13405687</v>
      </c>
      <c r="N22" s="80">
        <v>6304407</v>
      </c>
      <c r="O22">
        <f t="shared" si="0"/>
        <v>55124401</v>
      </c>
      <c r="P22">
        <f t="shared" si="1"/>
        <v>25614860</v>
      </c>
      <c r="Q22" s="3">
        <f t="shared" si="4"/>
        <v>29509541</v>
      </c>
      <c r="R22" s="2">
        <f t="shared" si="2"/>
        <v>0.46467371137511315</v>
      </c>
      <c r="S22" s="1">
        <f t="shared" si="3"/>
        <v>7.6064801681786447E-8</v>
      </c>
      <c r="T22" s="1">
        <v>84</v>
      </c>
      <c r="U22" s="1"/>
    </row>
    <row r="23" spans="1:21" x14ac:dyDescent="0.25">
      <c r="A23">
        <v>26</v>
      </c>
      <c r="B23" t="s">
        <v>19</v>
      </c>
      <c r="C23" s="80">
        <v>903</v>
      </c>
      <c r="D23" s="80">
        <v>6948001768</v>
      </c>
      <c r="E23" s="80">
        <v>15807</v>
      </c>
      <c r="F23" s="82">
        <v>1065.8685458612974</v>
      </c>
      <c r="G23" s="80">
        <v>8927289</v>
      </c>
      <c r="H23" s="80">
        <v>4611963</v>
      </c>
      <c r="I23" s="80">
        <v>11988632</v>
      </c>
      <c r="J23" s="80">
        <v>6705604</v>
      </c>
      <c r="K23" s="80">
        <v>8462308</v>
      </c>
      <c r="L23" s="80">
        <v>4672828</v>
      </c>
      <c r="M23" s="80">
        <v>9308508</v>
      </c>
      <c r="N23" s="80">
        <v>5124234</v>
      </c>
      <c r="O23">
        <f t="shared" si="0"/>
        <v>38686737</v>
      </c>
      <c r="P23">
        <f t="shared" si="1"/>
        <v>21114629</v>
      </c>
      <c r="Q23" s="3">
        <f t="shared" si="4"/>
        <v>17572108</v>
      </c>
      <c r="R23" s="2">
        <f t="shared" si="2"/>
        <v>0.54578469618670611</v>
      </c>
      <c r="S23" s="1">
        <f t="shared" si="3"/>
        <v>1.2996542461444002E-7</v>
      </c>
      <c r="T23" s="1">
        <v>84</v>
      </c>
      <c r="U23" s="1"/>
    </row>
    <row r="24" spans="1:21" x14ac:dyDescent="0.25">
      <c r="A24">
        <v>27</v>
      </c>
      <c r="B24" t="s">
        <v>19</v>
      </c>
      <c r="C24" s="80">
        <v>1883</v>
      </c>
      <c r="D24" s="80">
        <v>9389535019</v>
      </c>
      <c r="E24" s="80">
        <v>23737</v>
      </c>
      <c r="F24" s="82">
        <v>1077.2893648749407</v>
      </c>
      <c r="G24" s="80">
        <v>20645971</v>
      </c>
      <c r="H24" s="80">
        <v>12432470</v>
      </c>
      <c r="I24" s="80">
        <v>20840655</v>
      </c>
      <c r="J24" s="80">
        <v>12497611</v>
      </c>
      <c r="K24" s="80">
        <v>21037196</v>
      </c>
      <c r="L24" s="80">
        <v>12552318</v>
      </c>
      <c r="M24" s="80">
        <v>19495218</v>
      </c>
      <c r="N24" s="80">
        <v>11416524</v>
      </c>
      <c r="O24">
        <f t="shared" si="0"/>
        <v>82019040</v>
      </c>
      <c r="P24">
        <f t="shared" si="1"/>
        <v>48898923</v>
      </c>
      <c r="Q24" s="3">
        <f t="shared" si="4"/>
        <v>33120117</v>
      </c>
      <c r="R24" s="2">
        <f t="shared" si="2"/>
        <v>0.59618989688247992</v>
      </c>
      <c r="S24" s="1">
        <f t="shared" si="3"/>
        <v>2.0054241197138027E-7</v>
      </c>
      <c r="T24" s="1">
        <v>27</v>
      </c>
      <c r="U24" s="1"/>
    </row>
    <row r="25" spans="1:21" x14ac:dyDescent="0.25">
      <c r="A25">
        <v>28</v>
      </c>
      <c r="B25" t="s">
        <v>20</v>
      </c>
      <c r="C25" s="80">
        <v>1263</v>
      </c>
      <c r="D25" s="80">
        <v>3982104125</v>
      </c>
      <c r="E25" s="80">
        <v>7661</v>
      </c>
      <c r="F25" s="82">
        <v>993.28420326511844</v>
      </c>
      <c r="G25" s="80">
        <v>9422754</v>
      </c>
      <c r="H25" s="80">
        <v>5471731</v>
      </c>
      <c r="I25" s="80">
        <v>11229752</v>
      </c>
      <c r="J25" s="80">
        <v>6559227</v>
      </c>
      <c r="K25" s="80">
        <v>11093361</v>
      </c>
      <c r="L25" s="80">
        <v>6398053</v>
      </c>
      <c r="M25" s="80">
        <v>7218124</v>
      </c>
      <c r="N25" s="80">
        <v>4211218</v>
      </c>
      <c r="O25">
        <f t="shared" si="0"/>
        <v>38963991</v>
      </c>
      <c r="P25">
        <f t="shared" si="1"/>
        <v>22640229</v>
      </c>
      <c r="Q25" s="3">
        <f t="shared" si="4"/>
        <v>16323762</v>
      </c>
      <c r="R25" s="2">
        <f t="shared" si="2"/>
        <v>0.58105518502968545</v>
      </c>
      <c r="S25" s="1">
        <f t="shared" si="3"/>
        <v>3.1716900421331901E-7</v>
      </c>
      <c r="T25" s="1">
        <v>86</v>
      </c>
      <c r="U25" s="1"/>
    </row>
    <row r="26" spans="1:21" x14ac:dyDescent="0.25">
      <c r="A26">
        <v>29</v>
      </c>
      <c r="B26" t="s">
        <v>21</v>
      </c>
      <c r="C26" s="80">
        <v>1629</v>
      </c>
      <c r="D26" s="80">
        <v>15474898155</v>
      </c>
      <c r="E26" s="80">
        <v>30667</v>
      </c>
      <c r="F26" s="82">
        <v>1020.8356799523586</v>
      </c>
      <c r="G26" s="80">
        <v>18069680</v>
      </c>
      <c r="H26" s="80">
        <v>9613370</v>
      </c>
      <c r="I26" s="80">
        <v>21167653</v>
      </c>
      <c r="J26" s="80">
        <v>11461557</v>
      </c>
      <c r="K26" s="80">
        <v>19550790</v>
      </c>
      <c r="L26" s="80">
        <v>10525129</v>
      </c>
      <c r="M26" s="80">
        <v>16962625</v>
      </c>
      <c r="N26" s="80">
        <v>8919386</v>
      </c>
      <c r="O26">
        <f t="shared" si="0"/>
        <v>75750748</v>
      </c>
      <c r="P26">
        <f t="shared" si="1"/>
        <v>40519442</v>
      </c>
      <c r="Q26" s="3">
        <f t="shared" si="4"/>
        <v>35231306</v>
      </c>
      <c r="R26" s="2">
        <f t="shared" si="2"/>
        <v>0.53490484344788247</v>
      </c>
      <c r="S26" s="1">
        <f t="shared" si="3"/>
        <v>1.0526725175723782E-7</v>
      </c>
      <c r="T26" s="1">
        <v>86</v>
      </c>
      <c r="U26" s="1"/>
    </row>
    <row r="27" spans="1:21" x14ac:dyDescent="0.25">
      <c r="A27">
        <v>30</v>
      </c>
      <c r="B27" t="s">
        <v>22</v>
      </c>
      <c r="C27" s="80">
        <v>356</v>
      </c>
      <c r="D27" s="80">
        <v>9869310750</v>
      </c>
      <c r="E27" s="80">
        <v>24983</v>
      </c>
      <c r="F27" s="82">
        <v>1014.3476475989845</v>
      </c>
      <c r="G27" s="80">
        <v>6329133</v>
      </c>
      <c r="H27" s="80">
        <v>3110665</v>
      </c>
      <c r="I27" s="80">
        <v>5961098</v>
      </c>
      <c r="J27" s="80">
        <v>2934831</v>
      </c>
      <c r="K27" s="80">
        <v>7730184</v>
      </c>
      <c r="L27" s="80">
        <v>3788206</v>
      </c>
      <c r="M27" s="80">
        <v>6151700</v>
      </c>
      <c r="N27" s="80">
        <v>2996001</v>
      </c>
      <c r="O27">
        <f t="shared" si="0"/>
        <v>26172115</v>
      </c>
      <c r="P27">
        <f t="shared" si="1"/>
        <v>12829703</v>
      </c>
      <c r="Q27" s="3">
        <f t="shared" si="4"/>
        <v>13342412</v>
      </c>
      <c r="R27" s="2">
        <f t="shared" si="2"/>
        <v>0.49020505220919286</v>
      </c>
      <c r="S27" s="1">
        <f t="shared" si="3"/>
        <v>3.6071414612210889E-8</v>
      </c>
      <c r="T27" s="1">
        <v>86</v>
      </c>
      <c r="U27" s="1"/>
    </row>
    <row r="28" spans="1:21" x14ac:dyDescent="0.25">
      <c r="A28">
        <v>31</v>
      </c>
      <c r="B28" t="s">
        <v>23</v>
      </c>
      <c r="C28" s="80">
        <v>898</v>
      </c>
      <c r="D28" s="80">
        <v>1692562679</v>
      </c>
      <c r="E28" s="80">
        <v>6718</v>
      </c>
      <c r="F28" s="82">
        <v>1099.1204060203011</v>
      </c>
      <c r="G28" s="80">
        <v>6937548</v>
      </c>
      <c r="H28" s="80">
        <v>4729213</v>
      </c>
      <c r="I28" s="80">
        <v>7186610</v>
      </c>
      <c r="J28" s="80">
        <v>4867981</v>
      </c>
      <c r="K28" s="80">
        <v>8637754</v>
      </c>
      <c r="L28" s="80">
        <v>6036216</v>
      </c>
      <c r="M28" s="80">
        <v>7422527</v>
      </c>
      <c r="N28" s="80">
        <v>5007986</v>
      </c>
      <c r="O28">
        <f t="shared" si="0"/>
        <v>30184439</v>
      </c>
      <c r="P28">
        <f t="shared" si="1"/>
        <v>20641396</v>
      </c>
      <c r="Q28" s="3">
        <f t="shared" si="4"/>
        <v>9543043</v>
      </c>
      <c r="R28" s="2">
        <f t="shared" si="2"/>
        <v>0.68384229370636973</v>
      </c>
      <c r="S28" s="1">
        <f t="shared" si="3"/>
        <v>5.3055642260206069E-7</v>
      </c>
      <c r="T28" s="1">
        <v>86</v>
      </c>
      <c r="U28" s="1"/>
    </row>
    <row r="29" spans="1:21" x14ac:dyDescent="0.25">
      <c r="A29">
        <v>32</v>
      </c>
      <c r="B29" t="s">
        <v>24</v>
      </c>
      <c r="C29" s="80">
        <v>1279</v>
      </c>
      <c r="D29" s="80">
        <v>17006888443</v>
      </c>
      <c r="E29" s="80">
        <v>34945</v>
      </c>
      <c r="F29" s="82">
        <v>993.26911636045497</v>
      </c>
      <c r="G29" s="80">
        <v>14366072</v>
      </c>
      <c r="H29" s="80">
        <v>7701381</v>
      </c>
      <c r="I29" s="80">
        <v>14896049</v>
      </c>
      <c r="J29" s="80">
        <v>7853123</v>
      </c>
      <c r="K29" s="80">
        <v>16144738</v>
      </c>
      <c r="L29" s="80">
        <v>8697588</v>
      </c>
      <c r="M29" s="80">
        <v>14155203</v>
      </c>
      <c r="N29" s="80">
        <v>7427925</v>
      </c>
      <c r="O29">
        <f t="shared" si="0"/>
        <v>59562062</v>
      </c>
      <c r="P29">
        <f t="shared" si="1"/>
        <v>31680017</v>
      </c>
      <c r="Q29" s="3">
        <f t="shared" si="4"/>
        <v>27882045</v>
      </c>
      <c r="R29" s="2">
        <f t="shared" si="2"/>
        <v>0.53188247579474335</v>
      </c>
      <c r="S29" s="1">
        <f t="shared" si="3"/>
        <v>7.5204820933980654E-8</v>
      </c>
      <c r="T29" s="1">
        <v>87</v>
      </c>
      <c r="U29" s="1"/>
    </row>
    <row r="30" spans="1:21" x14ac:dyDescent="0.25">
      <c r="A30">
        <v>33</v>
      </c>
      <c r="B30" t="s">
        <v>25</v>
      </c>
      <c r="C30" s="80">
        <v>1625</v>
      </c>
      <c r="D30" s="80">
        <v>8394046050</v>
      </c>
      <c r="E30" s="80">
        <v>14889</v>
      </c>
      <c r="F30" s="82">
        <v>1017.194564475779</v>
      </c>
      <c r="G30" s="80">
        <v>12175817</v>
      </c>
      <c r="H30" s="80">
        <v>6265873</v>
      </c>
      <c r="I30" s="80">
        <v>11528293</v>
      </c>
      <c r="J30" s="80">
        <v>5901730</v>
      </c>
      <c r="K30" s="80">
        <v>12736193</v>
      </c>
      <c r="L30" s="80">
        <v>6550077</v>
      </c>
      <c r="M30" s="80">
        <v>12166369</v>
      </c>
      <c r="N30" s="80">
        <v>6293251</v>
      </c>
      <c r="O30">
        <f t="shared" si="0"/>
        <v>48606672</v>
      </c>
      <c r="P30">
        <f t="shared" si="1"/>
        <v>25010931</v>
      </c>
      <c r="Q30" s="3">
        <f t="shared" si="4"/>
        <v>23595741</v>
      </c>
      <c r="R30" s="2">
        <f t="shared" si="2"/>
        <v>0.5145575693805986</v>
      </c>
      <c r="S30" s="1">
        <f t="shared" si="3"/>
        <v>1.9358959795079991E-7</v>
      </c>
      <c r="T30" s="1">
        <v>87</v>
      </c>
      <c r="U30" s="1"/>
    </row>
    <row r="31" spans="1:21" x14ac:dyDescent="0.25">
      <c r="A31">
        <v>34</v>
      </c>
      <c r="B31" t="s">
        <v>26</v>
      </c>
      <c r="C31" s="80">
        <v>598</v>
      </c>
      <c r="D31" s="80">
        <v>2720849675</v>
      </c>
      <c r="E31" s="80">
        <v>4954</v>
      </c>
      <c r="F31" s="82">
        <v>996.44773109243692</v>
      </c>
      <c r="G31" s="80">
        <v>4215946</v>
      </c>
      <c r="H31" s="80">
        <v>2238769</v>
      </c>
      <c r="I31" s="80">
        <v>3878787</v>
      </c>
      <c r="J31" s="80">
        <v>2092417</v>
      </c>
      <c r="K31" s="80">
        <v>4836136</v>
      </c>
      <c r="L31" s="80">
        <v>2658631</v>
      </c>
      <c r="M31" s="80">
        <v>4148885</v>
      </c>
      <c r="N31" s="80">
        <v>2248934</v>
      </c>
      <c r="O31">
        <f t="shared" si="0"/>
        <v>17079754</v>
      </c>
      <c r="P31">
        <f t="shared" si="1"/>
        <v>9238751</v>
      </c>
      <c r="Q31" s="3">
        <f t="shared" si="4"/>
        <v>7841003</v>
      </c>
      <c r="R31" s="2">
        <f t="shared" si="2"/>
        <v>0.5409182708369219</v>
      </c>
      <c r="S31" s="1">
        <f t="shared" si="3"/>
        <v>2.1978428484844538E-7</v>
      </c>
      <c r="T31" s="1">
        <v>87</v>
      </c>
    </row>
    <row r="32" spans="1:21" x14ac:dyDescent="0.25">
      <c r="A32">
        <v>35</v>
      </c>
      <c r="B32" t="s">
        <v>27</v>
      </c>
      <c r="C32" s="80">
        <v>581</v>
      </c>
      <c r="D32" s="80">
        <v>5391277432</v>
      </c>
      <c r="E32" s="80">
        <v>17608</v>
      </c>
      <c r="F32" s="82">
        <v>1044.1223832528181</v>
      </c>
      <c r="G32" s="80">
        <v>4274376</v>
      </c>
      <c r="H32" s="80">
        <v>2050372</v>
      </c>
      <c r="I32" s="80">
        <v>4006260</v>
      </c>
      <c r="J32" s="80">
        <v>1899728</v>
      </c>
      <c r="K32" s="80">
        <v>4036213</v>
      </c>
      <c r="L32" s="80">
        <v>1906766</v>
      </c>
      <c r="M32" s="80">
        <v>4309649</v>
      </c>
      <c r="N32" s="80">
        <v>2067733</v>
      </c>
      <c r="O32">
        <f t="shared" si="0"/>
        <v>16626498</v>
      </c>
      <c r="P32">
        <f t="shared" si="1"/>
        <v>7924599</v>
      </c>
      <c r="Q32" s="3">
        <f t="shared" si="4"/>
        <v>8701899</v>
      </c>
      <c r="R32" s="2">
        <f t="shared" si="2"/>
        <v>0.4766246626319024</v>
      </c>
      <c r="S32" s="1">
        <f t="shared" si="3"/>
        <v>1.077666670521288E-7</v>
      </c>
      <c r="T32" s="1">
        <v>88</v>
      </c>
    </row>
    <row r="33" spans="1:20" x14ac:dyDescent="0.25">
      <c r="A33">
        <v>36</v>
      </c>
      <c r="B33" t="s">
        <v>28</v>
      </c>
      <c r="C33" s="80">
        <v>1359</v>
      </c>
      <c r="D33" s="80">
        <v>6921097174</v>
      </c>
      <c r="E33" s="80">
        <v>13870</v>
      </c>
      <c r="F33" s="82">
        <v>982.91856677524424</v>
      </c>
      <c r="G33" s="80">
        <v>9114007</v>
      </c>
      <c r="H33" s="80">
        <v>4788588</v>
      </c>
      <c r="I33" s="80">
        <v>10987084</v>
      </c>
      <c r="J33" s="80">
        <v>5832865</v>
      </c>
      <c r="K33" s="80">
        <v>11523678</v>
      </c>
      <c r="L33" s="80">
        <v>6089206</v>
      </c>
      <c r="M33" s="80">
        <v>9653765</v>
      </c>
      <c r="N33" s="80">
        <v>5175289</v>
      </c>
      <c r="O33">
        <f t="shared" si="0"/>
        <v>41278534</v>
      </c>
      <c r="P33">
        <f t="shared" si="1"/>
        <v>21885948</v>
      </c>
      <c r="Q33" s="3">
        <f t="shared" si="4"/>
        <v>19392586</v>
      </c>
      <c r="R33" s="2">
        <f t="shared" si="2"/>
        <v>0.53020167818944341</v>
      </c>
      <c r="S33" s="1">
        <f t="shared" si="3"/>
        <v>1.9635615074229269E-7</v>
      </c>
      <c r="T33" s="1">
        <v>88</v>
      </c>
    </row>
    <row r="34" spans="1:20" x14ac:dyDescent="0.25">
      <c r="A34">
        <v>37</v>
      </c>
      <c r="B34" t="s">
        <v>29</v>
      </c>
      <c r="C34" s="80">
        <v>584</v>
      </c>
      <c r="D34" s="80">
        <v>12867807615</v>
      </c>
      <c r="E34" s="80">
        <v>31907</v>
      </c>
      <c r="F34" s="82">
        <v>995.22403864734304</v>
      </c>
      <c r="G34" s="80">
        <v>10599193</v>
      </c>
      <c r="H34" s="80">
        <v>5222720</v>
      </c>
      <c r="I34" s="80">
        <v>8255869</v>
      </c>
      <c r="J34" s="80">
        <v>3967112</v>
      </c>
      <c r="K34" s="80">
        <v>8096665</v>
      </c>
      <c r="L34" s="80">
        <v>3958325</v>
      </c>
      <c r="M34" s="80">
        <v>7295138</v>
      </c>
      <c r="N34" s="80">
        <v>3536227</v>
      </c>
      <c r="O34">
        <f t="shared" si="0"/>
        <v>34246865</v>
      </c>
      <c r="P34">
        <f t="shared" si="1"/>
        <v>16684384</v>
      </c>
      <c r="Q34" s="3">
        <f t="shared" si="4"/>
        <v>17562481</v>
      </c>
      <c r="R34" s="2">
        <f t="shared" si="2"/>
        <v>0.48717989223247149</v>
      </c>
      <c r="S34" s="1">
        <f t="shared" si="3"/>
        <v>4.5384576570699688E-8</v>
      </c>
      <c r="T34" s="1">
        <v>88</v>
      </c>
    </row>
    <row r="35" spans="1:20" x14ac:dyDescent="0.25">
      <c r="A35">
        <v>38</v>
      </c>
      <c r="B35" t="s">
        <v>30</v>
      </c>
      <c r="C35" s="80">
        <v>1224</v>
      </c>
      <c r="D35" s="80">
        <v>3545422288</v>
      </c>
      <c r="E35" s="80">
        <v>8498</v>
      </c>
      <c r="F35" s="82">
        <v>1005.5533227218464</v>
      </c>
      <c r="G35" s="80">
        <v>15094314</v>
      </c>
      <c r="H35" s="80">
        <v>10118148</v>
      </c>
      <c r="I35" s="80">
        <v>12854686</v>
      </c>
      <c r="J35" s="80">
        <v>8057968</v>
      </c>
      <c r="K35" s="80">
        <v>11414001</v>
      </c>
      <c r="L35" s="80">
        <v>6906731</v>
      </c>
      <c r="M35" s="80">
        <v>10758674</v>
      </c>
      <c r="N35" s="80">
        <v>6307752</v>
      </c>
      <c r="O35">
        <f t="shared" si="0"/>
        <v>50121675</v>
      </c>
      <c r="P35">
        <f t="shared" si="1"/>
        <v>31390599</v>
      </c>
      <c r="Q35" s="3">
        <f t="shared" si="4"/>
        <v>18731076</v>
      </c>
      <c r="R35" s="2">
        <f t="shared" si="2"/>
        <v>0.6262879083749695</v>
      </c>
      <c r="S35" s="1">
        <f t="shared" si="3"/>
        <v>3.4523391025740624E-7</v>
      </c>
      <c r="T35" s="1">
        <v>86</v>
      </c>
    </row>
    <row r="36" spans="1:20" x14ac:dyDescent="0.25">
      <c r="A36">
        <v>39</v>
      </c>
      <c r="B36" t="s">
        <v>31</v>
      </c>
      <c r="C36" s="80">
        <v>1337</v>
      </c>
      <c r="D36" s="80">
        <v>3687937831</v>
      </c>
      <c r="E36" s="80">
        <v>8965</v>
      </c>
      <c r="F36" s="82">
        <v>1058.4324503311259</v>
      </c>
      <c r="G36" s="80">
        <v>11071370</v>
      </c>
      <c r="H36" s="80">
        <v>7506466</v>
      </c>
      <c r="I36" s="80">
        <v>11134342</v>
      </c>
      <c r="J36" s="80">
        <v>7434164</v>
      </c>
      <c r="K36" s="80">
        <v>11028112</v>
      </c>
      <c r="L36" s="80">
        <v>7328974</v>
      </c>
      <c r="M36" s="80">
        <v>10013161</v>
      </c>
      <c r="N36" s="80">
        <v>6445038</v>
      </c>
      <c r="O36">
        <f t="shared" ref="O36:O67" si="5">SUM(G36,I36,K36,M36)</f>
        <v>43246985</v>
      </c>
      <c r="P36">
        <f t="shared" ref="P36:P67" si="6">SUM(H36,J36,L36,N36)</f>
        <v>28714642</v>
      </c>
      <c r="Q36" s="3">
        <f t="shared" si="4"/>
        <v>14532343</v>
      </c>
      <c r="R36" s="2">
        <f t="shared" ref="R36:R67" si="7">P36/O36</f>
        <v>0.66396864428815094</v>
      </c>
      <c r="S36" s="1">
        <f t="shared" ref="S36:S67" si="8">C36/D36</f>
        <v>3.6253322622780407E-7</v>
      </c>
      <c r="T36" s="1">
        <v>88</v>
      </c>
    </row>
    <row r="37" spans="1:20" x14ac:dyDescent="0.25">
      <c r="A37">
        <v>40</v>
      </c>
      <c r="B37" t="s">
        <v>32</v>
      </c>
      <c r="C37" s="80">
        <v>1956</v>
      </c>
      <c r="D37" s="80">
        <v>4826196795</v>
      </c>
      <c r="E37" s="80">
        <v>10733</v>
      </c>
      <c r="F37" s="82">
        <v>1009.4808649390767</v>
      </c>
      <c r="G37" s="80">
        <v>11017226</v>
      </c>
      <c r="H37" s="80">
        <v>6722970</v>
      </c>
      <c r="I37" s="80">
        <v>9712692</v>
      </c>
      <c r="J37" s="80">
        <v>5902469</v>
      </c>
      <c r="K37" s="80">
        <v>12735602</v>
      </c>
      <c r="L37" s="80">
        <v>7743407</v>
      </c>
      <c r="M37" s="80">
        <v>10362709</v>
      </c>
      <c r="N37" s="80">
        <v>6175436</v>
      </c>
      <c r="O37">
        <f t="shared" si="5"/>
        <v>43828229</v>
      </c>
      <c r="P37">
        <f t="shared" si="6"/>
        <v>26544282</v>
      </c>
      <c r="Q37" s="3">
        <f t="shared" si="4"/>
        <v>17283947</v>
      </c>
      <c r="R37" s="2">
        <f t="shared" si="7"/>
        <v>0.60564349976358844</v>
      </c>
      <c r="S37" s="1">
        <f t="shared" si="8"/>
        <v>4.0528807321459421E-7</v>
      </c>
      <c r="T37" s="1">
        <v>88</v>
      </c>
    </row>
    <row r="38" spans="1:20" x14ac:dyDescent="0.25">
      <c r="A38">
        <v>41</v>
      </c>
      <c r="B38" t="s">
        <v>33</v>
      </c>
      <c r="C38" s="80">
        <v>841</v>
      </c>
      <c r="D38" s="80">
        <v>5812378380</v>
      </c>
      <c r="E38" s="80">
        <v>20913</v>
      </c>
      <c r="F38" s="82">
        <v>1045.8056982061203</v>
      </c>
      <c r="G38" s="80">
        <v>11448168</v>
      </c>
      <c r="H38" s="80">
        <v>7444270</v>
      </c>
      <c r="I38" s="80">
        <v>12065397</v>
      </c>
      <c r="J38" s="80">
        <v>7798714</v>
      </c>
      <c r="K38" s="80">
        <v>11468734</v>
      </c>
      <c r="L38" s="80">
        <v>7234392</v>
      </c>
      <c r="M38" s="80">
        <v>10300759</v>
      </c>
      <c r="N38" s="80">
        <v>6525466</v>
      </c>
      <c r="O38">
        <f t="shared" si="5"/>
        <v>45283058</v>
      </c>
      <c r="P38">
        <f t="shared" si="6"/>
        <v>29002842</v>
      </c>
      <c r="Q38" s="3">
        <f t="shared" si="4"/>
        <v>16280216</v>
      </c>
      <c r="R38" s="2">
        <f t="shared" si="7"/>
        <v>0.64047887401950632</v>
      </c>
      <c r="S38" s="1">
        <f t="shared" si="8"/>
        <v>1.4469119954300015E-7</v>
      </c>
      <c r="T38" s="1">
        <v>88</v>
      </c>
    </row>
    <row r="39" spans="1:20" x14ac:dyDescent="0.25">
      <c r="A39">
        <v>42</v>
      </c>
      <c r="B39" t="s">
        <v>34</v>
      </c>
      <c r="C39" s="80">
        <v>444</v>
      </c>
      <c r="D39" s="80">
        <v>2021305729</v>
      </c>
      <c r="E39" s="80">
        <v>4540</v>
      </c>
      <c r="F39" s="82">
        <v>970.88393608074011</v>
      </c>
      <c r="G39" s="80">
        <v>2719082</v>
      </c>
      <c r="H39" s="80">
        <v>1439267</v>
      </c>
      <c r="I39" s="80">
        <v>2454185</v>
      </c>
      <c r="J39" s="80">
        <v>1296614</v>
      </c>
      <c r="K39" s="80">
        <v>3062473</v>
      </c>
      <c r="L39" s="80">
        <v>1626881</v>
      </c>
      <c r="M39" s="80">
        <v>2725942</v>
      </c>
      <c r="N39" s="80">
        <v>1478020</v>
      </c>
      <c r="O39">
        <f t="shared" si="5"/>
        <v>10961682</v>
      </c>
      <c r="P39">
        <f t="shared" si="6"/>
        <v>5840782</v>
      </c>
      <c r="Q39" s="3">
        <f t="shared" si="4"/>
        <v>5120900</v>
      </c>
      <c r="R39" s="2">
        <f t="shared" si="7"/>
        <v>0.53283629282440415</v>
      </c>
      <c r="S39" s="1">
        <f t="shared" si="8"/>
        <v>2.1965999187053212E-7</v>
      </c>
      <c r="T39" s="1">
        <v>89</v>
      </c>
    </row>
    <row r="40" spans="1:20" x14ac:dyDescent="0.25">
      <c r="A40">
        <v>43</v>
      </c>
      <c r="B40" t="s">
        <v>35</v>
      </c>
      <c r="C40" s="80">
        <v>397</v>
      </c>
      <c r="D40" s="80">
        <v>10661183462</v>
      </c>
      <c r="E40" s="80">
        <v>24357</v>
      </c>
      <c r="F40" s="82">
        <v>959.55491178959699</v>
      </c>
      <c r="G40" s="80">
        <v>6059560</v>
      </c>
      <c r="H40" s="80">
        <v>2792071.66</v>
      </c>
      <c r="I40" s="80">
        <v>5040088</v>
      </c>
      <c r="J40" s="80">
        <v>2318702.84</v>
      </c>
      <c r="K40" s="80">
        <v>7079477</v>
      </c>
      <c r="L40" s="80">
        <v>3294887.09</v>
      </c>
      <c r="M40" s="80">
        <v>5122661</v>
      </c>
      <c r="N40" s="80">
        <v>2277481</v>
      </c>
      <c r="O40">
        <f t="shared" si="5"/>
        <v>23301786</v>
      </c>
      <c r="P40">
        <f t="shared" si="6"/>
        <v>10683142.59</v>
      </c>
      <c r="Q40" s="3">
        <f t="shared" si="4"/>
        <v>12618643.41</v>
      </c>
      <c r="R40" s="2">
        <f t="shared" si="7"/>
        <v>0.45846883110161596</v>
      </c>
      <c r="S40" s="1">
        <f t="shared" si="8"/>
        <v>3.7237892154753731E-8</v>
      </c>
      <c r="T40" s="1">
        <v>89</v>
      </c>
    </row>
    <row r="41" spans="1:20" x14ac:dyDescent="0.25">
      <c r="A41">
        <v>44</v>
      </c>
      <c r="B41" t="s">
        <v>36</v>
      </c>
      <c r="C41" s="80">
        <v>481</v>
      </c>
      <c r="D41" s="80">
        <v>17450342389</v>
      </c>
      <c r="E41" s="80">
        <v>39384</v>
      </c>
      <c r="F41" s="82">
        <v>1006.538717120443</v>
      </c>
      <c r="G41" s="80">
        <v>14078286</v>
      </c>
      <c r="H41" s="80">
        <v>6835395</v>
      </c>
      <c r="I41" s="80">
        <v>14401556</v>
      </c>
      <c r="J41" s="80">
        <v>6962323</v>
      </c>
      <c r="K41" s="80">
        <v>15469179</v>
      </c>
      <c r="L41" s="80">
        <v>7555368</v>
      </c>
      <c r="M41" s="80">
        <v>12782093</v>
      </c>
      <c r="N41" s="80">
        <v>6262482</v>
      </c>
      <c r="O41">
        <f t="shared" si="5"/>
        <v>56731114</v>
      </c>
      <c r="P41">
        <f t="shared" si="6"/>
        <v>27615568</v>
      </c>
      <c r="Q41" s="3">
        <f t="shared" si="4"/>
        <v>29115546</v>
      </c>
      <c r="R41" s="2">
        <f t="shared" si="7"/>
        <v>0.48677993525739682</v>
      </c>
      <c r="S41" s="1">
        <f t="shared" si="8"/>
        <v>2.7563929078159706E-8</v>
      </c>
      <c r="T41" s="1">
        <v>89</v>
      </c>
    </row>
    <row r="42" spans="1:20" x14ac:dyDescent="0.25">
      <c r="A42">
        <v>45</v>
      </c>
      <c r="B42" t="s">
        <v>37</v>
      </c>
      <c r="C42" s="80">
        <v>803</v>
      </c>
      <c r="D42" s="80">
        <v>4547331636</v>
      </c>
      <c r="E42" s="80">
        <v>12227</v>
      </c>
      <c r="F42" s="82">
        <v>1012.7568497683653</v>
      </c>
      <c r="G42" s="80">
        <v>6175141</v>
      </c>
      <c r="H42" s="80">
        <v>3453903</v>
      </c>
      <c r="I42" s="80">
        <v>5747414</v>
      </c>
      <c r="J42" s="80">
        <v>3240342</v>
      </c>
      <c r="K42" s="80">
        <v>8066308</v>
      </c>
      <c r="L42" s="80">
        <v>4596604</v>
      </c>
      <c r="M42" s="80">
        <v>6394030</v>
      </c>
      <c r="N42" s="80">
        <v>3508856</v>
      </c>
      <c r="O42">
        <f t="shared" si="5"/>
        <v>26382893</v>
      </c>
      <c r="P42">
        <f t="shared" si="6"/>
        <v>14799705</v>
      </c>
      <c r="Q42" s="3">
        <f t="shared" si="4"/>
        <v>11583188</v>
      </c>
      <c r="R42" s="2">
        <f t="shared" si="7"/>
        <v>0.56095838314623037</v>
      </c>
      <c r="S42" s="1">
        <f t="shared" si="8"/>
        <v>1.7658707661496805E-7</v>
      </c>
      <c r="T42" s="1">
        <v>89</v>
      </c>
    </row>
    <row r="43" spans="1:20" x14ac:dyDescent="0.25">
      <c r="A43">
        <v>46</v>
      </c>
      <c r="B43" t="s">
        <v>38</v>
      </c>
      <c r="C43" s="80">
        <v>246</v>
      </c>
      <c r="D43" s="80">
        <v>8004410614</v>
      </c>
      <c r="E43" s="80">
        <v>18147</v>
      </c>
      <c r="F43" s="82">
        <v>1040.4211604095563</v>
      </c>
      <c r="G43" s="80">
        <v>3741388</v>
      </c>
      <c r="H43" s="80">
        <v>1708025</v>
      </c>
      <c r="I43" s="80">
        <v>3992459</v>
      </c>
      <c r="J43" s="80">
        <v>1842950</v>
      </c>
      <c r="K43" s="80">
        <v>3434364</v>
      </c>
      <c r="L43" s="80">
        <v>1624201</v>
      </c>
      <c r="M43" s="80">
        <v>4698305</v>
      </c>
      <c r="N43" s="80">
        <v>2243465</v>
      </c>
      <c r="O43">
        <f t="shared" si="5"/>
        <v>15866516</v>
      </c>
      <c r="P43">
        <f t="shared" si="6"/>
        <v>7418641</v>
      </c>
      <c r="Q43" s="3">
        <f t="shared" si="4"/>
        <v>8447875</v>
      </c>
      <c r="R43" s="2">
        <f t="shared" si="7"/>
        <v>0.46756584747401381</v>
      </c>
      <c r="S43" s="1">
        <f t="shared" si="8"/>
        <v>3.0733056044093643E-8</v>
      </c>
      <c r="T43" s="1">
        <v>89</v>
      </c>
    </row>
    <row r="44" spans="1:20" x14ac:dyDescent="0.25">
      <c r="A44">
        <v>47</v>
      </c>
      <c r="B44" t="s">
        <v>39</v>
      </c>
      <c r="C44" s="80">
        <v>668</v>
      </c>
      <c r="D44" s="80">
        <v>3292312355</v>
      </c>
      <c r="E44" s="80">
        <v>6551</v>
      </c>
      <c r="F44" s="82">
        <v>974.01822477219037</v>
      </c>
      <c r="G44" s="80">
        <v>2905631</v>
      </c>
      <c r="H44" s="80">
        <v>1674675</v>
      </c>
      <c r="I44" s="80">
        <v>3132030</v>
      </c>
      <c r="J44" s="80">
        <v>1799854</v>
      </c>
      <c r="K44" s="80">
        <v>4264728</v>
      </c>
      <c r="L44" s="80">
        <v>2547274</v>
      </c>
      <c r="M44" s="80">
        <v>4434678</v>
      </c>
      <c r="N44" s="80">
        <v>2840046</v>
      </c>
      <c r="O44">
        <f t="shared" si="5"/>
        <v>14737067</v>
      </c>
      <c r="P44">
        <f t="shared" si="6"/>
        <v>8861849</v>
      </c>
      <c r="Q44" s="3">
        <f t="shared" si="4"/>
        <v>5875218</v>
      </c>
      <c r="R44" s="2">
        <f t="shared" si="7"/>
        <v>0.60133057683730418</v>
      </c>
      <c r="S44" s="1">
        <f t="shared" si="8"/>
        <v>2.0289690891130528E-7</v>
      </c>
      <c r="T44" s="1">
        <v>89</v>
      </c>
    </row>
    <row r="45" spans="1:20" x14ac:dyDescent="0.25">
      <c r="A45">
        <v>48</v>
      </c>
      <c r="B45" t="s">
        <v>40</v>
      </c>
      <c r="C45" s="80">
        <v>238</v>
      </c>
      <c r="D45" s="80">
        <v>6808801456</v>
      </c>
      <c r="E45" s="80">
        <v>16451</v>
      </c>
      <c r="F45" s="82">
        <v>976.87231214324811</v>
      </c>
      <c r="G45" s="80">
        <v>4064945</v>
      </c>
      <c r="H45" s="80">
        <v>1894432</v>
      </c>
      <c r="I45" s="80">
        <v>5355659</v>
      </c>
      <c r="J45" s="80">
        <v>2634579</v>
      </c>
      <c r="K45" s="80">
        <v>7405862</v>
      </c>
      <c r="L45" s="80">
        <v>3787450</v>
      </c>
      <c r="M45" s="80">
        <v>4039716</v>
      </c>
      <c r="N45" s="80">
        <v>1919541</v>
      </c>
      <c r="O45">
        <f t="shared" si="5"/>
        <v>20866182</v>
      </c>
      <c r="P45">
        <f t="shared" si="6"/>
        <v>10236002</v>
      </c>
      <c r="Q45" s="3">
        <f t="shared" si="4"/>
        <v>10630180</v>
      </c>
      <c r="R45" s="2">
        <f t="shared" si="7"/>
        <v>0.49055462086930901</v>
      </c>
      <c r="S45" s="1">
        <f t="shared" si="8"/>
        <v>3.4954756947754945E-8</v>
      </c>
      <c r="T45" s="1">
        <v>89</v>
      </c>
    </row>
    <row r="46" spans="1:20" x14ac:dyDescent="0.25">
      <c r="A46">
        <v>49</v>
      </c>
      <c r="B46" t="s">
        <v>41</v>
      </c>
      <c r="C46" s="80">
        <v>691</v>
      </c>
      <c r="D46" s="80">
        <v>50006261138</v>
      </c>
      <c r="E46" s="80">
        <v>76166</v>
      </c>
      <c r="F46" s="82">
        <v>962.11787212002741</v>
      </c>
      <c r="G46" s="80">
        <v>32160737</v>
      </c>
      <c r="H46" s="80">
        <v>14753434</v>
      </c>
      <c r="I46" s="80">
        <v>35501931</v>
      </c>
      <c r="J46" s="80">
        <v>16450776</v>
      </c>
      <c r="K46" s="80">
        <v>35386502</v>
      </c>
      <c r="L46" s="80">
        <v>16368469</v>
      </c>
      <c r="M46" s="80">
        <v>30972041</v>
      </c>
      <c r="N46" s="80">
        <v>14180011</v>
      </c>
      <c r="O46">
        <f t="shared" si="5"/>
        <v>134021211</v>
      </c>
      <c r="P46">
        <f t="shared" si="6"/>
        <v>61752690</v>
      </c>
      <c r="Q46" s="3">
        <f t="shared" si="4"/>
        <v>72268521</v>
      </c>
      <c r="R46" s="2">
        <f t="shared" si="7"/>
        <v>0.46076803469564231</v>
      </c>
      <c r="S46" s="1">
        <f t="shared" si="8"/>
        <v>1.3818269638137488E-8</v>
      </c>
      <c r="T46" s="1">
        <v>89</v>
      </c>
    </row>
    <row r="47" spans="1:20" x14ac:dyDescent="0.25">
      <c r="A47">
        <v>50</v>
      </c>
      <c r="B47" t="s">
        <v>42</v>
      </c>
      <c r="C47" s="80">
        <v>205</v>
      </c>
      <c r="D47" s="80">
        <v>1435028217</v>
      </c>
      <c r="E47" s="80">
        <v>2990</v>
      </c>
      <c r="F47" s="82">
        <v>979.36400651465794</v>
      </c>
      <c r="G47" s="80">
        <v>717305</v>
      </c>
      <c r="H47" s="80">
        <v>347690</v>
      </c>
      <c r="I47" s="80">
        <v>628912</v>
      </c>
      <c r="J47" s="80">
        <v>303806</v>
      </c>
      <c r="K47" s="80">
        <v>1071323</v>
      </c>
      <c r="L47" s="80">
        <v>521535</v>
      </c>
      <c r="M47" s="80">
        <v>642815</v>
      </c>
      <c r="N47" s="80">
        <v>302605</v>
      </c>
      <c r="O47">
        <f t="shared" si="5"/>
        <v>3060355</v>
      </c>
      <c r="P47">
        <f t="shared" si="6"/>
        <v>1475636</v>
      </c>
      <c r="Q47" s="3">
        <f t="shared" si="4"/>
        <v>1584719</v>
      </c>
      <c r="R47" s="2">
        <f t="shared" si="7"/>
        <v>0.48217804797155883</v>
      </c>
      <c r="S47" s="1">
        <f t="shared" si="8"/>
        <v>1.4285433385314401E-7</v>
      </c>
      <c r="T47" s="1">
        <v>91</v>
      </c>
    </row>
    <row r="48" spans="1:20" x14ac:dyDescent="0.25">
      <c r="A48">
        <v>51</v>
      </c>
      <c r="B48" t="s">
        <v>43</v>
      </c>
      <c r="C48" s="80">
        <v>1533</v>
      </c>
      <c r="D48" s="80">
        <v>14571895838</v>
      </c>
      <c r="E48" s="80">
        <v>25919</v>
      </c>
      <c r="F48" s="82">
        <v>965.17406912085596</v>
      </c>
      <c r="G48" s="80">
        <v>10149303</v>
      </c>
      <c r="H48" s="80">
        <v>4930349</v>
      </c>
      <c r="I48" s="80">
        <v>10932465</v>
      </c>
      <c r="J48" s="80">
        <v>5420935</v>
      </c>
      <c r="K48" s="80">
        <v>11483475</v>
      </c>
      <c r="L48" s="80">
        <v>5533370</v>
      </c>
      <c r="M48" s="80">
        <v>10275287</v>
      </c>
      <c r="N48" s="80">
        <v>4899654</v>
      </c>
      <c r="O48">
        <f t="shared" si="5"/>
        <v>42840530</v>
      </c>
      <c r="P48">
        <f t="shared" si="6"/>
        <v>20784308</v>
      </c>
      <c r="Q48" s="3">
        <f t="shared" si="4"/>
        <v>22056222</v>
      </c>
      <c r="R48" s="2">
        <f t="shared" si="7"/>
        <v>0.48515524901302576</v>
      </c>
      <c r="S48" s="1">
        <f t="shared" si="8"/>
        <v>1.0520250879108706E-7</v>
      </c>
      <c r="T48" s="1">
        <v>51</v>
      </c>
    </row>
    <row r="49" spans="1:20" x14ac:dyDescent="0.25">
      <c r="A49">
        <v>52</v>
      </c>
      <c r="B49" t="s">
        <v>44</v>
      </c>
      <c r="C49" s="80">
        <v>262</v>
      </c>
      <c r="D49" s="80">
        <v>10290157166</v>
      </c>
      <c r="E49" s="80">
        <v>21250</v>
      </c>
      <c r="F49" s="82">
        <v>988.50857669407424</v>
      </c>
      <c r="G49" s="80">
        <v>5768273</v>
      </c>
      <c r="H49" s="80">
        <v>2734120</v>
      </c>
      <c r="I49" s="80">
        <v>5608298</v>
      </c>
      <c r="J49" s="80">
        <v>2732840</v>
      </c>
      <c r="K49" s="80">
        <v>6141025</v>
      </c>
      <c r="L49" s="80">
        <v>2931676</v>
      </c>
      <c r="M49" s="80">
        <v>7022784</v>
      </c>
      <c r="N49" s="80">
        <v>3279294</v>
      </c>
      <c r="O49">
        <f t="shared" si="5"/>
        <v>24540380</v>
      </c>
      <c r="P49">
        <f t="shared" si="6"/>
        <v>11677930</v>
      </c>
      <c r="Q49" s="3">
        <f t="shared" si="4"/>
        <v>12862450</v>
      </c>
      <c r="R49" s="2">
        <f t="shared" si="7"/>
        <v>0.47586589938705104</v>
      </c>
      <c r="S49" s="1">
        <f t="shared" si="8"/>
        <v>2.5461224330536139E-8</v>
      </c>
      <c r="T49" s="1">
        <v>52</v>
      </c>
    </row>
    <row r="50" spans="1:20" x14ac:dyDescent="0.25">
      <c r="A50">
        <v>53</v>
      </c>
      <c r="B50" t="s">
        <v>45</v>
      </c>
      <c r="C50" s="80">
        <v>1732</v>
      </c>
      <c r="D50" s="80">
        <v>13072290937</v>
      </c>
      <c r="E50" s="80">
        <v>23119</v>
      </c>
      <c r="F50" s="82">
        <v>964.50621765140818</v>
      </c>
      <c r="G50" s="80">
        <v>11979320</v>
      </c>
      <c r="H50" s="80">
        <v>6154278</v>
      </c>
      <c r="I50" s="80">
        <v>12869690</v>
      </c>
      <c r="J50" s="80">
        <v>6536061</v>
      </c>
      <c r="K50" s="80">
        <v>14101456</v>
      </c>
      <c r="L50" s="80">
        <v>7165100</v>
      </c>
      <c r="M50" s="80">
        <v>12161315</v>
      </c>
      <c r="N50" s="80">
        <v>6114234</v>
      </c>
      <c r="O50">
        <f t="shared" si="5"/>
        <v>51111781</v>
      </c>
      <c r="P50">
        <f t="shared" si="6"/>
        <v>25969673</v>
      </c>
      <c r="Q50" s="3">
        <f t="shared" si="4"/>
        <v>25142108</v>
      </c>
      <c r="R50" s="2">
        <f t="shared" si="7"/>
        <v>0.50809563845955596</v>
      </c>
      <c r="S50" s="1">
        <f t="shared" si="8"/>
        <v>1.3249399117164095E-7</v>
      </c>
      <c r="T50" s="1">
        <v>53</v>
      </c>
    </row>
    <row r="51" spans="1:20" x14ac:dyDescent="0.25">
      <c r="A51">
        <v>54</v>
      </c>
      <c r="B51" t="s">
        <v>46</v>
      </c>
      <c r="C51" s="80">
        <v>2660</v>
      </c>
      <c r="D51" s="80">
        <v>15943150132</v>
      </c>
      <c r="E51" s="80">
        <v>15422</v>
      </c>
      <c r="F51" s="82">
        <v>954.60550559333183</v>
      </c>
      <c r="G51" s="80">
        <v>9427300</v>
      </c>
      <c r="H51" s="80">
        <v>4589634</v>
      </c>
      <c r="I51" s="80">
        <v>9528015</v>
      </c>
      <c r="J51" s="80">
        <v>4619509</v>
      </c>
      <c r="K51" s="80">
        <v>10287886</v>
      </c>
      <c r="L51" s="80">
        <v>5012370</v>
      </c>
      <c r="M51" s="80">
        <v>9732660</v>
      </c>
      <c r="N51" s="80">
        <v>4539256</v>
      </c>
      <c r="O51">
        <f t="shared" si="5"/>
        <v>38975861</v>
      </c>
      <c r="P51">
        <f t="shared" si="6"/>
        <v>18760769</v>
      </c>
      <c r="Q51" s="3">
        <f t="shared" si="4"/>
        <v>20215092</v>
      </c>
      <c r="R51" s="2">
        <f t="shared" si="7"/>
        <v>0.48134328578398822</v>
      </c>
      <c r="S51" s="1">
        <f t="shared" si="8"/>
        <v>1.668428119898984E-7</v>
      </c>
      <c r="T51" s="1">
        <v>91</v>
      </c>
    </row>
    <row r="52" spans="1:20" x14ac:dyDescent="0.25">
      <c r="A52">
        <v>56</v>
      </c>
      <c r="B52" t="s">
        <v>47</v>
      </c>
      <c r="C52" s="80">
        <v>2333</v>
      </c>
      <c r="D52" s="80">
        <v>91141124879</v>
      </c>
      <c r="E52" s="80">
        <v>165260</v>
      </c>
      <c r="F52" s="82">
        <v>985.0772864148671</v>
      </c>
      <c r="G52" s="80">
        <v>54049307</v>
      </c>
      <c r="H52" s="80">
        <v>25458937</v>
      </c>
      <c r="I52" s="80">
        <v>32582886</v>
      </c>
      <c r="J52" s="80">
        <v>15402965</v>
      </c>
      <c r="K52" s="80">
        <v>43257184</v>
      </c>
      <c r="L52" s="80">
        <v>20167728</v>
      </c>
      <c r="M52" s="80">
        <v>52645812</v>
      </c>
      <c r="N52" s="80">
        <v>24819500</v>
      </c>
      <c r="O52">
        <f t="shared" si="5"/>
        <v>182535189</v>
      </c>
      <c r="P52">
        <f t="shared" si="6"/>
        <v>85849130</v>
      </c>
      <c r="Q52" s="3">
        <f t="shared" si="4"/>
        <v>96686059</v>
      </c>
      <c r="R52" s="2">
        <f t="shared" si="7"/>
        <v>0.47031550721981613</v>
      </c>
      <c r="S52" s="1">
        <f t="shared" si="8"/>
        <v>2.5597665193372557E-8</v>
      </c>
      <c r="T52" s="1">
        <v>91</v>
      </c>
    </row>
    <row r="53" spans="1:20" x14ac:dyDescent="0.25">
      <c r="A53">
        <v>57</v>
      </c>
      <c r="B53" t="s">
        <v>48</v>
      </c>
      <c r="C53" s="80">
        <v>1456</v>
      </c>
      <c r="D53" s="80">
        <v>6075627207</v>
      </c>
      <c r="E53" s="80">
        <v>8003</v>
      </c>
      <c r="F53" s="82">
        <v>950.8275493860117</v>
      </c>
      <c r="G53" s="80">
        <v>6054273</v>
      </c>
      <c r="H53" s="80">
        <v>3191486</v>
      </c>
      <c r="I53" s="80">
        <v>6593343</v>
      </c>
      <c r="J53" s="80">
        <v>3590903</v>
      </c>
      <c r="K53" s="80">
        <v>6761148</v>
      </c>
      <c r="L53" s="80">
        <v>3503889</v>
      </c>
      <c r="M53" s="80">
        <v>5968116</v>
      </c>
      <c r="N53" s="80">
        <v>3034222</v>
      </c>
      <c r="O53">
        <f t="shared" si="5"/>
        <v>25376880</v>
      </c>
      <c r="P53">
        <f t="shared" si="6"/>
        <v>13320500</v>
      </c>
      <c r="Q53" s="3">
        <f t="shared" si="4"/>
        <v>12056380</v>
      </c>
      <c r="R53" s="2">
        <f t="shared" si="7"/>
        <v>0.52490692315209753</v>
      </c>
      <c r="S53" s="1">
        <f t="shared" si="8"/>
        <v>2.3964603988909616E-7</v>
      </c>
      <c r="T53" s="1">
        <v>91</v>
      </c>
    </row>
    <row r="54" spans="1:20" x14ac:dyDescent="0.25">
      <c r="A54">
        <v>58</v>
      </c>
      <c r="B54" t="s">
        <v>49</v>
      </c>
      <c r="C54" s="80">
        <v>712</v>
      </c>
      <c r="D54" s="80">
        <v>3121399123</v>
      </c>
      <c r="E54" s="80">
        <v>4383</v>
      </c>
      <c r="F54" s="82">
        <v>954.9023255813953</v>
      </c>
      <c r="G54" s="80">
        <v>2325208</v>
      </c>
      <c r="H54" s="80">
        <v>1272647</v>
      </c>
      <c r="I54" s="80">
        <v>2420667</v>
      </c>
      <c r="J54" s="80">
        <v>1325767</v>
      </c>
      <c r="K54" s="80">
        <v>2772502</v>
      </c>
      <c r="L54" s="80">
        <v>1525862</v>
      </c>
      <c r="M54" s="80">
        <v>2600676</v>
      </c>
      <c r="N54" s="80">
        <v>1395859</v>
      </c>
      <c r="O54">
        <f t="shared" si="5"/>
        <v>10119053</v>
      </c>
      <c r="P54">
        <f t="shared" si="6"/>
        <v>5520135</v>
      </c>
      <c r="Q54" s="3">
        <f t="shared" si="4"/>
        <v>4598918</v>
      </c>
      <c r="R54" s="2">
        <f t="shared" si="7"/>
        <v>0.54551893344169655</v>
      </c>
      <c r="S54" s="1">
        <f t="shared" si="8"/>
        <v>2.2810283848471498E-7</v>
      </c>
      <c r="T54" s="1">
        <v>91</v>
      </c>
    </row>
    <row r="55" spans="1:20" x14ac:dyDescent="0.25">
      <c r="A55">
        <v>59</v>
      </c>
      <c r="B55" t="s">
        <v>50</v>
      </c>
      <c r="C55" s="80">
        <v>2492</v>
      </c>
      <c r="D55" s="80">
        <v>17491006133</v>
      </c>
      <c r="E55" s="80">
        <v>21470</v>
      </c>
      <c r="F55" s="82">
        <v>920.07287117903934</v>
      </c>
      <c r="G55" s="80">
        <v>8765662</v>
      </c>
      <c r="H55" s="80">
        <v>4359430</v>
      </c>
      <c r="I55" s="80">
        <v>10150938</v>
      </c>
      <c r="J55" s="80">
        <v>5112567</v>
      </c>
      <c r="K55" s="80">
        <v>10434517</v>
      </c>
      <c r="L55" s="80">
        <v>5377312</v>
      </c>
      <c r="M55" s="80">
        <v>9195289</v>
      </c>
      <c r="N55" s="80">
        <v>4430851</v>
      </c>
      <c r="O55">
        <f t="shared" si="5"/>
        <v>38546406</v>
      </c>
      <c r="P55">
        <f t="shared" si="6"/>
        <v>19280160</v>
      </c>
      <c r="Q55" s="3">
        <f t="shared" si="4"/>
        <v>19266246</v>
      </c>
      <c r="R55" s="2">
        <f t="shared" si="7"/>
        <v>0.50018048375249302</v>
      </c>
      <c r="S55" s="1">
        <f t="shared" si="8"/>
        <v>1.424732220119907E-7</v>
      </c>
      <c r="T55" s="1">
        <v>91</v>
      </c>
    </row>
    <row r="56" spans="1:20" x14ac:dyDescent="0.25">
      <c r="A56">
        <v>60</v>
      </c>
      <c r="B56" t="s">
        <v>51</v>
      </c>
      <c r="C56" s="80">
        <v>1716</v>
      </c>
      <c r="D56" s="80">
        <v>10890243343</v>
      </c>
      <c r="E56" s="80">
        <v>21765</v>
      </c>
      <c r="F56" s="82">
        <v>975.74330466400954</v>
      </c>
      <c r="G56" s="80">
        <v>11174750</v>
      </c>
      <c r="H56" s="80">
        <v>5958297</v>
      </c>
      <c r="I56" s="80">
        <v>10408609</v>
      </c>
      <c r="J56" s="80">
        <v>5536237</v>
      </c>
      <c r="K56" s="80">
        <v>12540538</v>
      </c>
      <c r="L56" s="80">
        <v>6698993</v>
      </c>
      <c r="M56" s="80">
        <v>11507847</v>
      </c>
      <c r="N56" s="80">
        <v>6327461</v>
      </c>
      <c r="O56">
        <f t="shared" si="5"/>
        <v>45631744</v>
      </c>
      <c r="P56">
        <f t="shared" si="6"/>
        <v>24520988</v>
      </c>
      <c r="Q56" s="3">
        <f t="shared" si="4"/>
        <v>21110756</v>
      </c>
      <c r="R56" s="2">
        <f t="shared" si="7"/>
        <v>0.53736688214239636</v>
      </c>
      <c r="S56" s="1">
        <f t="shared" si="8"/>
        <v>1.5757223653803894E-7</v>
      </c>
      <c r="T56" s="1">
        <v>91</v>
      </c>
    </row>
    <row r="57" spans="1:20" x14ac:dyDescent="0.25">
      <c r="A57">
        <v>61</v>
      </c>
      <c r="B57" t="s">
        <v>52</v>
      </c>
      <c r="C57" s="80">
        <v>1534</v>
      </c>
      <c r="D57" s="80">
        <v>13371303493</v>
      </c>
      <c r="E57" s="80">
        <v>23770</v>
      </c>
      <c r="F57" s="82">
        <v>946.69026107988907</v>
      </c>
      <c r="G57" s="80">
        <v>8373130</v>
      </c>
      <c r="H57" s="80">
        <v>4209907</v>
      </c>
      <c r="I57" s="80">
        <v>7721833</v>
      </c>
      <c r="J57" s="80">
        <v>3882965</v>
      </c>
      <c r="K57" s="80">
        <v>10474753</v>
      </c>
      <c r="L57" s="80">
        <v>5303157</v>
      </c>
      <c r="M57" s="80">
        <v>8176824</v>
      </c>
      <c r="N57" s="80">
        <v>4145969</v>
      </c>
      <c r="O57">
        <f t="shared" si="5"/>
        <v>34746540</v>
      </c>
      <c r="P57">
        <f t="shared" si="6"/>
        <v>17541998</v>
      </c>
      <c r="Q57" s="3">
        <f t="shared" si="4"/>
        <v>17204542</v>
      </c>
      <c r="R57" s="2">
        <f t="shared" si="7"/>
        <v>0.5048559655148398</v>
      </c>
      <c r="S57" s="1">
        <f t="shared" si="8"/>
        <v>1.1472329536182191E-7</v>
      </c>
      <c r="T57" s="1">
        <v>91</v>
      </c>
    </row>
    <row r="58" spans="1:20" x14ac:dyDescent="0.25">
      <c r="A58">
        <v>62</v>
      </c>
      <c r="B58" t="s">
        <v>53</v>
      </c>
      <c r="C58" s="80">
        <v>1336</v>
      </c>
      <c r="D58" s="80">
        <v>3965523405</v>
      </c>
      <c r="E58" s="80">
        <v>4455</v>
      </c>
      <c r="F58" s="82">
        <v>987.6780159730979</v>
      </c>
      <c r="G58" s="80">
        <v>2920552</v>
      </c>
      <c r="H58" s="80">
        <v>1542049</v>
      </c>
      <c r="I58" s="80">
        <v>3485686</v>
      </c>
      <c r="J58" s="80">
        <v>1835043</v>
      </c>
      <c r="K58" s="80">
        <v>3357743</v>
      </c>
      <c r="L58" s="80">
        <v>1777161</v>
      </c>
      <c r="M58" s="80">
        <v>2641184</v>
      </c>
      <c r="N58" s="80">
        <v>1354334</v>
      </c>
      <c r="O58">
        <f t="shared" si="5"/>
        <v>12405165</v>
      </c>
      <c r="P58">
        <f t="shared" si="6"/>
        <v>6508587</v>
      </c>
      <c r="Q58" s="3">
        <f t="shared" si="4"/>
        <v>5896578</v>
      </c>
      <c r="R58" s="2">
        <f t="shared" si="7"/>
        <v>0.5246675074454874</v>
      </c>
      <c r="S58" s="1">
        <f t="shared" si="8"/>
        <v>3.3690382417500824E-7</v>
      </c>
      <c r="T58" s="1">
        <v>91</v>
      </c>
    </row>
    <row r="59" spans="1:20" x14ac:dyDescent="0.25">
      <c r="A59">
        <v>63</v>
      </c>
      <c r="B59" t="s">
        <v>54</v>
      </c>
      <c r="C59" s="80">
        <v>601</v>
      </c>
      <c r="D59" s="80">
        <v>2417738200</v>
      </c>
      <c r="E59" s="80">
        <v>7364</v>
      </c>
      <c r="F59" s="82">
        <v>1031.9764020839718</v>
      </c>
      <c r="G59" s="80">
        <v>3918287</v>
      </c>
      <c r="H59" s="80">
        <v>2610495</v>
      </c>
      <c r="I59" s="80">
        <v>3956235</v>
      </c>
      <c r="J59" s="80">
        <v>2686057</v>
      </c>
      <c r="K59" s="80">
        <v>3849412</v>
      </c>
      <c r="L59" s="80">
        <v>2559523</v>
      </c>
      <c r="M59" s="80">
        <v>4025352</v>
      </c>
      <c r="N59" s="80">
        <v>2616205</v>
      </c>
      <c r="O59">
        <f t="shared" si="5"/>
        <v>15749286</v>
      </c>
      <c r="P59">
        <f t="shared" si="6"/>
        <v>10472280</v>
      </c>
      <c r="Q59" s="3">
        <f t="shared" si="4"/>
        <v>5277006</v>
      </c>
      <c r="R59" s="2">
        <f t="shared" si="7"/>
        <v>0.6649368104687412</v>
      </c>
      <c r="S59" s="1">
        <f t="shared" si="8"/>
        <v>2.4857943676449338E-7</v>
      </c>
      <c r="T59" s="1">
        <v>90</v>
      </c>
    </row>
    <row r="60" spans="1:20" x14ac:dyDescent="0.25">
      <c r="A60">
        <v>64</v>
      </c>
      <c r="B60" t="s">
        <v>55</v>
      </c>
      <c r="C60" s="80">
        <v>610</v>
      </c>
      <c r="D60" s="80">
        <v>2623147630</v>
      </c>
      <c r="E60" s="80">
        <v>8549</v>
      </c>
      <c r="F60" s="82">
        <v>997.88461538461536</v>
      </c>
      <c r="G60" s="80">
        <v>5842328</v>
      </c>
      <c r="H60" s="80">
        <v>3799932</v>
      </c>
      <c r="I60" s="80">
        <v>5032075</v>
      </c>
      <c r="J60" s="80">
        <v>3183755</v>
      </c>
      <c r="K60" s="80">
        <v>4838722</v>
      </c>
      <c r="L60" s="80">
        <v>3053269</v>
      </c>
      <c r="M60" s="80">
        <v>4789310</v>
      </c>
      <c r="N60" s="80">
        <v>2984774</v>
      </c>
      <c r="O60">
        <f t="shared" si="5"/>
        <v>20502435</v>
      </c>
      <c r="P60">
        <f t="shared" si="6"/>
        <v>13021730</v>
      </c>
      <c r="Q60" s="3">
        <f t="shared" si="4"/>
        <v>7480705</v>
      </c>
      <c r="R60" s="2">
        <f t="shared" si="7"/>
        <v>0.63513090030525643</v>
      </c>
      <c r="S60" s="1">
        <f t="shared" si="8"/>
        <v>2.3254505122916013E-7</v>
      </c>
      <c r="T60" s="1">
        <v>90</v>
      </c>
    </row>
    <row r="61" spans="1:20" x14ac:dyDescent="0.25">
      <c r="A61">
        <v>65</v>
      </c>
      <c r="B61" t="s">
        <v>56</v>
      </c>
      <c r="C61" s="80">
        <v>673</v>
      </c>
      <c r="D61" s="80">
        <v>2364564465</v>
      </c>
      <c r="E61" s="80">
        <v>6497</v>
      </c>
      <c r="F61" s="82">
        <v>988.67059243397568</v>
      </c>
      <c r="G61" s="80">
        <v>3794227</v>
      </c>
      <c r="H61" s="80">
        <v>2492759</v>
      </c>
      <c r="I61" s="80">
        <v>3876282</v>
      </c>
      <c r="J61" s="80">
        <v>2545841</v>
      </c>
      <c r="K61" s="80">
        <v>3910079</v>
      </c>
      <c r="L61" s="80">
        <v>2572675</v>
      </c>
      <c r="M61" s="80">
        <v>2800280</v>
      </c>
      <c r="N61" s="80">
        <v>1811186</v>
      </c>
      <c r="O61">
        <f t="shared" si="5"/>
        <v>14380868</v>
      </c>
      <c r="P61">
        <f t="shared" si="6"/>
        <v>9422461</v>
      </c>
      <c r="Q61" s="3">
        <f t="shared" si="4"/>
        <v>4958407</v>
      </c>
      <c r="R61" s="2">
        <f t="shared" si="7"/>
        <v>0.65520808618784343</v>
      </c>
      <c r="S61" s="1">
        <f t="shared" si="8"/>
        <v>2.8461901122243247E-7</v>
      </c>
      <c r="T61" s="1">
        <v>90</v>
      </c>
    </row>
    <row r="62" spans="1:20" x14ac:dyDescent="0.25">
      <c r="A62">
        <v>66</v>
      </c>
      <c r="B62" t="s">
        <v>57</v>
      </c>
      <c r="C62" s="80">
        <v>1885</v>
      </c>
      <c r="D62" s="80">
        <v>7209518248</v>
      </c>
      <c r="E62" s="80">
        <v>13453</v>
      </c>
      <c r="F62" s="82">
        <v>947.3458356315499</v>
      </c>
      <c r="G62" s="80">
        <v>5987900</v>
      </c>
      <c r="H62" s="80">
        <v>3156365</v>
      </c>
      <c r="I62" s="80">
        <v>6604583</v>
      </c>
      <c r="J62" s="80">
        <v>3449904</v>
      </c>
      <c r="K62" s="80">
        <v>6320626</v>
      </c>
      <c r="L62" s="80">
        <v>3308218</v>
      </c>
      <c r="M62" s="80">
        <v>6055893</v>
      </c>
      <c r="N62" s="80">
        <v>3063582</v>
      </c>
      <c r="O62">
        <f t="shared" si="5"/>
        <v>24969002</v>
      </c>
      <c r="P62">
        <f t="shared" si="6"/>
        <v>12978069</v>
      </c>
      <c r="Q62" s="3">
        <f t="shared" si="4"/>
        <v>11990933</v>
      </c>
      <c r="R62" s="2">
        <f t="shared" si="7"/>
        <v>0.51976722978355328</v>
      </c>
      <c r="S62" s="1">
        <f t="shared" si="8"/>
        <v>2.6145991107282652E-7</v>
      </c>
      <c r="T62" s="1">
        <v>93</v>
      </c>
    </row>
    <row r="63" spans="1:20" x14ac:dyDescent="0.25">
      <c r="A63">
        <v>67</v>
      </c>
      <c r="B63" t="s">
        <v>58</v>
      </c>
      <c r="C63" s="80">
        <v>2919</v>
      </c>
      <c r="D63" s="80">
        <v>7036718467</v>
      </c>
      <c r="E63" s="80">
        <v>12003</v>
      </c>
      <c r="F63" s="82">
        <v>967.42468876030159</v>
      </c>
      <c r="G63" s="80">
        <v>12561838</v>
      </c>
      <c r="H63" s="80">
        <v>7723153</v>
      </c>
      <c r="I63" s="80">
        <v>15295981</v>
      </c>
      <c r="J63" s="80">
        <v>9511782</v>
      </c>
      <c r="K63" s="80">
        <v>14318193</v>
      </c>
      <c r="L63" s="80">
        <v>8825549</v>
      </c>
      <c r="M63" s="80">
        <v>12380538</v>
      </c>
      <c r="N63" s="80">
        <v>7434862</v>
      </c>
      <c r="O63">
        <f t="shared" si="5"/>
        <v>54556550</v>
      </c>
      <c r="P63">
        <f t="shared" si="6"/>
        <v>33495346</v>
      </c>
      <c r="Q63" s="3">
        <f t="shared" si="4"/>
        <v>21061204</v>
      </c>
      <c r="R63" s="2">
        <f t="shared" si="7"/>
        <v>0.61395645435790935</v>
      </c>
      <c r="S63" s="1">
        <f t="shared" si="8"/>
        <v>4.1482404244097494E-7</v>
      </c>
      <c r="T63" s="1">
        <v>93</v>
      </c>
    </row>
    <row r="64" spans="1:20" x14ac:dyDescent="0.25">
      <c r="A64">
        <v>68</v>
      </c>
      <c r="B64" t="s">
        <v>59</v>
      </c>
      <c r="C64" s="80">
        <v>1767</v>
      </c>
      <c r="D64" s="80">
        <v>20155416468</v>
      </c>
      <c r="E64" s="80">
        <v>53616</v>
      </c>
      <c r="F64" s="82">
        <v>991.00715712804435</v>
      </c>
      <c r="G64" s="80">
        <v>37986904</v>
      </c>
      <c r="H64" s="80">
        <v>22768423</v>
      </c>
      <c r="I64" s="80">
        <v>37917889</v>
      </c>
      <c r="J64" s="80">
        <v>22725205</v>
      </c>
      <c r="K64" s="80">
        <v>27043111</v>
      </c>
      <c r="L64" s="80">
        <v>15425517</v>
      </c>
      <c r="M64" s="80">
        <v>20847919</v>
      </c>
      <c r="N64" s="80">
        <v>11853214</v>
      </c>
      <c r="O64">
        <f t="shared" si="5"/>
        <v>123795823</v>
      </c>
      <c r="P64">
        <f t="shared" si="6"/>
        <v>72772359</v>
      </c>
      <c r="Q64" s="3">
        <f t="shared" si="4"/>
        <v>51023464</v>
      </c>
      <c r="R64" s="2">
        <f t="shared" si="7"/>
        <v>0.58784179656853208</v>
      </c>
      <c r="S64" s="1">
        <f t="shared" si="8"/>
        <v>8.7668741690621963E-8</v>
      </c>
      <c r="T64" s="1">
        <v>93</v>
      </c>
    </row>
    <row r="65" spans="1:20" x14ac:dyDescent="0.25">
      <c r="A65">
        <v>69</v>
      </c>
      <c r="B65" t="s">
        <v>60</v>
      </c>
      <c r="C65" s="80">
        <v>820</v>
      </c>
      <c r="D65" s="80">
        <v>18272229515</v>
      </c>
      <c r="E65" s="80">
        <v>22383</v>
      </c>
      <c r="F65" s="82">
        <v>926.50854979767655</v>
      </c>
      <c r="G65" s="80">
        <v>19348545</v>
      </c>
      <c r="H65" s="80">
        <v>11140260</v>
      </c>
      <c r="I65" s="80">
        <v>16002463</v>
      </c>
      <c r="J65" s="80">
        <v>9148995</v>
      </c>
      <c r="K65" s="80">
        <v>22464856</v>
      </c>
      <c r="L65" s="80">
        <v>12598356</v>
      </c>
      <c r="M65" s="80">
        <v>18962624</v>
      </c>
      <c r="N65" s="80">
        <v>10196253</v>
      </c>
      <c r="O65">
        <f t="shared" si="5"/>
        <v>76778488</v>
      </c>
      <c r="P65">
        <f t="shared" si="6"/>
        <v>43083864</v>
      </c>
      <c r="Q65" s="3">
        <f t="shared" si="4"/>
        <v>33694624</v>
      </c>
      <c r="R65" s="2">
        <f t="shared" si="7"/>
        <v>0.56114499155023734</v>
      </c>
      <c r="S65" s="1">
        <f t="shared" si="8"/>
        <v>4.4876844356997999E-8</v>
      </c>
      <c r="T65" s="1">
        <v>93</v>
      </c>
    </row>
    <row r="66" spans="1:20" x14ac:dyDescent="0.25">
      <c r="A66">
        <v>70</v>
      </c>
      <c r="B66" t="s">
        <v>61</v>
      </c>
      <c r="C66" s="80">
        <v>1810</v>
      </c>
      <c r="D66" s="80">
        <v>7059954731</v>
      </c>
      <c r="E66" s="80">
        <v>14198</v>
      </c>
      <c r="F66" s="82">
        <v>981.62574760765551</v>
      </c>
      <c r="G66" s="80">
        <v>7341614</v>
      </c>
      <c r="H66" s="80">
        <v>4331667</v>
      </c>
      <c r="I66" s="80">
        <v>8364329</v>
      </c>
      <c r="J66" s="80">
        <v>4884216</v>
      </c>
      <c r="K66" s="80">
        <v>9126815</v>
      </c>
      <c r="L66" s="80">
        <v>5313934</v>
      </c>
      <c r="M66" s="80">
        <v>7498519</v>
      </c>
      <c r="N66" s="80">
        <v>4287217</v>
      </c>
      <c r="O66">
        <f t="shared" si="5"/>
        <v>32331277</v>
      </c>
      <c r="P66">
        <f t="shared" si="6"/>
        <v>18817034</v>
      </c>
      <c r="Q66" s="3">
        <f t="shared" si="4"/>
        <v>13514243</v>
      </c>
      <c r="R66" s="2">
        <f t="shared" si="7"/>
        <v>0.5820071381653128</v>
      </c>
      <c r="S66" s="1">
        <f t="shared" si="8"/>
        <v>2.563755815674507E-7</v>
      </c>
      <c r="T66" s="1">
        <v>91</v>
      </c>
    </row>
    <row r="67" spans="1:20" x14ac:dyDescent="0.25">
      <c r="A67">
        <v>71</v>
      </c>
      <c r="B67" t="s">
        <v>62</v>
      </c>
      <c r="C67" s="80">
        <v>893</v>
      </c>
      <c r="D67" s="80">
        <v>3366390925</v>
      </c>
      <c r="E67" s="80">
        <v>6943</v>
      </c>
      <c r="F67" s="82">
        <v>973.13795620437952</v>
      </c>
      <c r="G67" s="80">
        <v>3166194</v>
      </c>
      <c r="H67" s="80">
        <v>1807004</v>
      </c>
      <c r="I67" s="80">
        <v>3804472</v>
      </c>
      <c r="J67" s="80">
        <v>2167434</v>
      </c>
      <c r="K67" s="80">
        <v>3833149</v>
      </c>
      <c r="L67" s="80">
        <v>2182111</v>
      </c>
      <c r="M67" s="80">
        <v>2995274</v>
      </c>
      <c r="N67" s="80">
        <v>1662354</v>
      </c>
      <c r="O67">
        <f t="shared" si="5"/>
        <v>13799089</v>
      </c>
      <c r="P67">
        <f t="shared" si="6"/>
        <v>7818903</v>
      </c>
      <c r="Q67" s="3">
        <f t="shared" si="4"/>
        <v>5980186</v>
      </c>
      <c r="R67" s="2">
        <f t="shared" si="7"/>
        <v>0.56662457934723087</v>
      </c>
      <c r="S67" s="1">
        <f t="shared" si="8"/>
        <v>2.6526925122340031E-7</v>
      </c>
      <c r="T67" s="1">
        <v>94</v>
      </c>
    </row>
    <row r="68" spans="1:20" x14ac:dyDescent="0.25">
      <c r="A68">
        <v>72</v>
      </c>
      <c r="B68" t="s">
        <v>63</v>
      </c>
      <c r="C68" s="80">
        <v>598</v>
      </c>
      <c r="D68" s="80">
        <v>7102904325</v>
      </c>
      <c r="E68" s="80">
        <v>25221</v>
      </c>
      <c r="F68" s="82">
        <v>998.31301472798316</v>
      </c>
      <c r="G68" s="80">
        <v>14977931</v>
      </c>
      <c r="H68" s="80">
        <v>10186768</v>
      </c>
      <c r="I68" s="80">
        <v>11955248</v>
      </c>
      <c r="J68" s="80">
        <v>7797648</v>
      </c>
      <c r="K68" s="80">
        <v>11774278</v>
      </c>
      <c r="L68" s="80">
        <v>7061434</v>
      </c>
      <c r="M68" s="80">
        <v>11302932</v>
      </c>
      <c r="N68" s="80">
        <v>6741652</v>
      </c>
      <c r="O68">
        <f t="shared" ref="O68:O82" si="9">SUM(G68,I68,K68,M68)</f>
        <v>50010389</v>
      </c>
      <c r="P68">
        <f t="shared" ref="P68:P82" si="10">SUM(H68,J68,L68,N68)</f>
        <v>31787502</v>
      </c>
      <c r="Q68" s="3">
        <f t="shared" si="4"/>
        <v>18222887</v>
      </c>
      <c r="R68" s="2">
        <f t="shared" ref="R68:R82" si="11">P68/O68</f>
        <v>0.63561797129792375</v>
      </c>
      <c r="S68" s="1">
        <f t="shared" ref="S68:S81" si="12">C68/D68</f>
        <v>8.4190912989666375E-8</v>
      </c>
      <c r="T68" s="1">
        <v>94</v>
      </c>
    </row>
    <row r="69" spans="1:20" x14ac:dyDescent="0.25">
      <c r="A69">
        <v>73</v>
      </c>
      <c r="B69" t="s">
        <v>64</v>
      </c>
      <c r="C69" s="80">
        <v>4970</v>
      </c>
      <c r="D69" s="80">
        <v>20224028560</v>
      </c>
      <c r="E69" s="80">
        <v>20803</v>
      </c>
      <c r="F69" s="82">
        <v>941.48036539269219</v>
      </c>
      <c r="G69" s="80">
        <v>20751246</v>
      </c>
      <c r="H69" s="80">
        <v>11476635</v>
      </c>
      <c r="I69" s="80">
        <v>21591661</v>
      </c>
      <c r="J69" s="80">
        <v>12041298</v>
      </c>
      <c r="K69" s="80">
        <v>27999147</v>
      </c>
      <c r="L69" s="80">
        <v>15589927</v>
      </c>
      <c r="M69" s="80">
        <v>21213111</v>
      </c>
      <c r="N69" s="80">
        <v>11423893</v>
      </c>
      <c r="O69">
        <f t="shared" si="9"/>
        <v>91555165</v>
      </c>
      <c r="P69">
        <f t="shared" si="10"/>
        <v>50531753</v>
      </c>
      <c r="Q69" s="3">
        <f t="shared" ref="Q69:Q81" si="13">O69-P69</f>
        <v>41023412</v>
      </c>
      <c r="R69" s="2">
        <f t="shared" si="11"/>
        <v>0.55192684104714351</v>
      </c>
      <c r="S69" s="1">
        <f t="shared" si="12"/>
        <v>2.4574727954201423E-7</v>
      </c>
      <c r="T69" s="1">
        <v>94</v>
      </c>
    </row>
    <row r="70" spans="1:20" x14ac:dyDescent="0.25">
      <c r="A70">
        <v>74</v>
      </c>
      <c r="B70" t="s">
        <v>65</v>
      </c>
      <c r="C70" s="80">
        <v>179</v>
      </c>
      <c r="D70" s="80">
        <v>122691900</v>
      </c>
      <c r="E70" s="80">
        <v>559</v>
      </c>
      <c r="F70" s="82">
        <v>975.58477508650515</v>
      </c>
      <c r="G70" s="80">
        <v>5198105</v>
      </c>
      <c r="H70" s="80">
        <v>4752383</v>
      </c>
      <c r="I70" s="80">
        <v>3721070</v>
      </c>
      <c r="J70" s="80">
        <v>3279704</v>
      </c>
      <c r="K70" s="80">
        <v>3888390</v>
      </c>
      <c r="L70" s="80">
        <v>3412616</v>
      </c>
      <c r="M70" s="80">
        <v>3241186</v>
      </c>
      <c r="N70" s="80">
        <v>2858001</v>
      </c>
      <c r="O70">
        <f t="shared" si="9"/>
        <v>16048751</v>
      </c>
      <c r="P70">
        <f t="shared" si="10"/>
        <v>14302704</v>
      </c>
      <c r="Q70" s="3">
        <f t="shared" si="13"/>
        <v>1746047</v>
      </c>
      <c r="R70" s="2">
        <f t="shared" si="11"/>
        <v>0.89120355845760213</v>
      </c>
      <c r="S70" s="1">
        <f t="shared" si="12"/>
        <v>1.4589390171641322E-6</v>
      </c>
      <c r="T70" s="1">
        <v>74</v>
      </c>
    </row>
    <row r="71" spans="1:20" x14ac:dyDescent="0.25">
      <c r="A71">
        <v>81</v>
      </c>
      <c r="B71" t="s">
        <v>66</v>
      </c>
      <c r="C71" s="80">
        <v>5891</v>
      </c>
      <c r="D71" s="80">
        <v>37044292435</v>
      </c>
      <c r="E71" s="80">
        <v>90772</v>
      </c>
      <c r="F71" s="82">
        <v>1042.1326923076922</v>
      </c>
      <c r="G71" s="80">
        <v>1425890</v>
      </c>
      <c r="H71" s="80">
        <v>822879</v>
      </c>
      <c r="I71" s="80">
        <v>1220728</v>
      </c>
      <c r="J71" s="80">
        <v>702876</v>
      </c>
      <c r="K71" s="80">
        <v>1330525</v>
      </c>
      <c r="L71" s="80">
        <v>768291</v>
      </c>
      <c r="M71" s="80">
        <v>1231024</v>
      </c>
      <c r="N71" s="80">
        <v>638921</v>
      </c>
      <c r="O71">
        <f t="shared" si="9"/>
        <v>5208167</v>
      </c>
      <c r="P71">
        <f t="shared" si="10"/>
        <v>2932967</v>
      </c>
      <c r="Q71" s="3">
        <f t="shared" si="13"/>
        <v>2275200</v>
      </c>
      <c r="R71" s="2">
        <f t="shared" si="11"/>
        <v>0.56314764868330836</v>
      </c>
      <c r="S71" s="1">
        <f t="shared" si="12"/>
        <v>1.5902584751312717E-7</v>
      </c>
    </row>
    <row r="72" spans="1:20" x14ac:dyDescent="0.25">
      <c r="A72">
        <v>83</v>
      </c>
      <c r="B72" t="s">
        <v>67</v>
      </c>
      <c r="C72" s="80">
        <v>9591</v>
      </c>
      <c r="D72" s="80">
        <v>125746960416</v>
      </c>
      <c r="E72" s="80">
        <v>231837</v>
      </c>
      <c r="F72" s="82">
        <v>1011.5041228877816</v>
      </c>
      <c r="G72" s="80">
        <v>17493743</v>
      </c>
      <c r="H72" s="80">
        <v>9414313</v>
      </c>
      <c r="I72" s="80">
        <v>17447192</v>
      </c>
      <c r="J72" s="80">
        <v>9327814</v>
      </c>
      <c r="K72" s="80">
        <v>17845297</v>
      </c>
      <c r="L72" s="80">
        <v>9525501</v>
      </c>
      <c r="M72" s="80">
        <v>17237915</v>
      </c>
      <c r="N72" s="80">
        <v>8886384</v>
      </c>
      <c r="O72">
        <f t="shared" si="9"/>
        <v>70024147</v>
      </c>
      <c r="P72">
        <f t="shared" si="10"/>
        <v>37154012</v>
      </c>
      <c r="Q72" s="3">
        <f t="shared" si="13"/>
        <v>32870135</v>
      </c>
      <c r="R72" s="2">
        <f t="shared" si="11"/>
        <v>0.53058856968296952</v>
      </c>
      <c r="S72" s="1">
        <f t="shared" si="12"/>
        <v>7.6272221358438857E-8</v>
      </c>
    </row>
    <row r="73" spans="1:20" x14ac:dyDescent="0.25">
      <c r="A73">
        <v>84</v>
      </c>
      <c r="B73" t="s">
        <v>68</v>
      </c>
      <c r="C73" s="80">
        <v>3852</v>
      </c>
      <c r="D73" s="80">
        <v>51944021294</v>
      </c>
      <c r="E73" s="80">
        <v>99213</v>
      </c>
      <c r="F73" s="82">
        <v>1014.0994240305541</v>
      </c>
      <c r="G73" s="80">
        <v>10016107</v>
      </c>
      <c r="H73" s="80">
        <v>5325113</v>
      </c>
      <c r="I73" s="80">
        <v>9818753</v>
      </c>
      <c r="J73" s="80">
        <v>5228400</v>
      </c>
      <c r="K73" s="80">
        <v>10115928</v>
      </c>
      <c r="L73" s="80">
        <v>5368666</v>
      </c>
      <c r="M73" s="80">
        <v>9946656</v>
      </c>
      <c r="N73" s="80">
        <v>5132197</v>
      </c>
      <c r="O73">
        <f t="shared" si="9"/>
        <v>39897444</v>
      </c>
      <c r="P73">
        <f t="shared" si="10"/>
        <v>21054376</v>
      </c>
      <c r="Q73" s="3">
        <f t="shared" si="13"/>
        <v>18843068</v>
      </c>
      <c r="R73" s="2">
        <f t="shared" si="11"/>
        <v>0.52771240182704438</v>
      </c>
      <c r="S73" s="1">
        <f t="shared" si="12"/>
        <v>7.4156753829240793E-8</v>
      </c>
    </row>
    <row r="74" spans="1:20" x14ac:dyDescent="0.25">
      <c r="A74">
        <v>86</v>
      </c>
      <c r="B74" t="s">
        <v>69</v>
      </c>
      <c r="C74" s="80">
        <v>4146</v>
      </c>
      <c r="D74" s="80">
        <v>34564297997</v>
      </c>
      <c r="E74" s="80">
        <v>78527</v>
      </c>
      <c r="F74" s="82">
        <v>1019.1199727209054</v>
      </c>
      <c r="G74" s="80">
        <v>2972269</v>
      </c>
      <c r="H74" s="80">
        <v>1759383</v>
      </c>
      <c r="I74" s="80">
        <v>3262529</v>
      </c>
      <c r="J74" s="80">
        <v>1954451</v>
      </c>
      <c r="K74" s="80">
        <v>4592421</v>
      </c>
      <c r="L74" s="80">
        <v>2632637</v>
      </c>
      <c r="M74" s="80">
        <v>4441178</v>
      </c>
      <c r="N74" s="80">
        <v>2445577</v>
      </c>
      <c r="O74">
        <f t="shared" si="9"/>
        <v>15268397</v>
      </c>
      <c r="P74">
        <f t="shared" si="10"/>
        <v>8792048</v>
      </c>
      <c r="Q74" s="3">
        <f t="shared" si="13"/>
        <v>6476349</v>
      </c>
      <c r="R74" s="2">
        <f t="shared" si="11"/>
        <v>0.5758330753385571</v>
      </c>
      <c r="S74" s="1">
        <f t="shared" si="12"/>
        <v>1.1995036035043589E-7</v>
      </c>
    </row>
    <row r="75" spans="1:20" x14ac:dyDescent="0.25">
      <c r="A75">
        <v>87</v>
      </c>
      <c r="B75" t="s">
        <v>70</v>
      </c>
      <c r="C75" s="80">
        <v>3502</v>
      </c>
      <c r="D75" s="80">
        <v>28121784168</v>
      </c>
      <c r="E75" s="80">
        <v>54788</v>
      </c>
      <c r="F75" s="82">
        <v>999.61803690548379</v>
      </c>
      <c r="G75" s="80">
        <v>1625357</v>
      </c>
      <c r="H75" s="80">
        <v>837970</v>
      </c>
      <c r="I75" s="80">
        <v>2222754</v>
      </c>
      <c r="J75" s="80">
        <v>1165658</v>
      </c>
      <c r="K75" s="80">
        <v>2306952</v>
      </c>
      <c r="L75" s="80">
        <v>1248826</v>
      </c>
      <c r="M75" s="80">
        <v>2326760</v>
      </c>
      <c r="N75" s="80">
        <v>1228223</v>
      </c>
      <c r="O75">
        <f t="shared" si="9"/>
        <v>8481823</v>
      </c>
      <c r="P75">
        <f t="shared" si="10"/>
        <v>4480677</v>
      </c>
      <c r="Q75" s="3">
        <f t="shared" si="13"/>
        <v>4001146</v>
      </c>
      <c r="R75" s="2">
        <f t="shared" si="11"/>
        <v>0.52826815650361958</v>
      </c>
      <c r="S75" s="1">
        <f t="shared" si="12"/>
        <v>1.2452979437858546E-7</v>
      </c>
    </row>
    <row r="76" spans="1:20" x14ac:dyDescent="0.25">
      <c r="A76">
        <v>88</v>
      </c>
      <c r="B76" t="s">
        <v>71</v>
      </c>
      <c r="C76" s="80">
        <v>7882</v>
      </c>
      <c r="D76" s="80">
        <v>39506695227</v>
      </c>
      <c r="E76" s="80">
        <v>103996</v>
      </c>
      <c r="F76" s="82">
        <v>1016.513170675133</v>
      </c>
      <c r="G76" s="80">
        <v>5066187</v>
      </c>
      <c r="H76" s="80">
        <v>2943642</v>
      </c>
      <c r="I76" s="80">
        <v>5241031</v>
      </c>
      <c r="J76" s="80">
        <v>3027514</v>
      </c>
      <c r="K76" s="80">
        <v>5448598</v>
      </c>
      <c r="L76" s="80">
        <v>3221819</v>
      </c>
      <c r="M76" s="80">
        <v>5105489</v>
      </c>
      <c r="N76" s="80">
        <v>2875850</v>
      </c>
      <c r="O76">
        <f t="shared" si="9"/>
        <v>20861305</v>
      </c>
      <c r="P76">
        <f t="shared" si="10"/>
        <v>12068825</v>
      </c>
      <c r="Q76" s="3">
        <f t="shared" si="13"/>
        <v>8792480</v>
      </c>
      <c r="R76" s="2">
        <f t="shared" si="11"/>
        <v>0.57852684671452725</v>
      </c>
      <c r="S76" s="1">
        <f t="shared" si="12"/>
        <v>1.9951048688611183E-7</v>
      </c>
    </row>
    <row r="77" spans="1:20" x14ac:dyDescent="0.25">
      <c r="A77">
        <v>89</v>
      </c>
      <c r="B77" t="s">
        <v>72</v>
      </c>
      <c r="C77" s="80">
        <v>3968</v>
      </c>
      <c r="D77" s="80">
        <v>102791948779</v>
      </c>
      <c r="E77" s="80">
        <v>197823</v>
      </c>
      <c r="F77" s="82">
        <v>984.14695122359035</v>
      </c>
      <c r="G77" s="80">
        <v>83001494</v>
      </c>
      <c r="H77" s="80">
        <v>45828869</v>
      </c>
      <c r="I77" s="80">
        <v>85447865</v>
      </c>
      <c r="J77" s="80">
        <v>47583516</v>
      </c>
      <c r="K77" s="80">
        <v>99865473</v>
      </c>
      <c r="L77" s="80">
        <v>56105987</v>
      </c>
      <c r="M77" s="80">
        <v>96800482</v>
      </c>
      <c r="N77" s="80">
        <v>53449721</v>
      </c>
      <c r="O77">
        <f t="shared" si="9"/>
        <v>365115314</v>
      </c>
      <c r="P77">
        <f t="shared" si="10"/>
        <v>202968093</v>
      </c>
      <c r="Q77" s="3">
        <f t="shared" si="13"/>
        <v>162147221</v>
      </c>
      <c r="R77" s="2">
        <f t="shared" si="11"/>
        <v>0.5559013418976998</v>
      </c>
      <c r="S77" s="1">
        <f t="shared" si="12"/>
        <v>3.8602245089555568E-8</v>
      </c>
    </row>
    <row r="78" spans="1:20" x14ac:dyDescent="0.25">
      <c r="A78">
        <v>90</v>
      </c>
      <c r="B78" t="s">
        <v>73</v>
      </c>
      <c r="C78" s="80">
        <v>1884</v>
      </c>
      <c r="D78" s="80">
        <v>7405450295</v>
      </c>
      <c r="E78" s="80">
        <v>22410</v>
      </c>
      <c r="F78" s="82">
        <v>1006.0929182281156</v>
      </c>
      <c r="G78" s="80">
        <v>110645</v>
      </c>
      <c r="H78" s="80">
        <v>65920</v>
      </c>
      <c r="I78" s="80">
        <v>195682</v>
      </c>
      <c r="J78" s="80">
        <v>131478</v>
      </c>
      <c r="K78" s="80">
        <v>258226</v>
      </c>
      <c r="L78" s="80">
        <v>187979</v>
      </c>
      <c r="M78" s="80">
        <v>88000</v>
      </c>
      <c r="N78" s="80">
        <v>49138</v>
      </c>
      <c r="O78">
        <f t="shared" si="9"/>
        <v>652553</v>
      </c>
      <c r="P78">
        <f t="shared" si="10"/>
        <v>434515</v>
      </c>
      <c r="Q78" s="3">
        <f t="shared" si="13"/>
        <v>218038</v>
      </c>
      <c r="R78" s="2">
        <f t="shared" si="11"/>
        <v>0.66586928571319115</v>
      </c>
      <c r="S78" s="1">
        <f t="shared" si="12"/>
        <v>2.5440721697531834E-7</v>
      </c>
    </row>
    <row r="79" spans="1:20" x14ac:dyDescent="0.25">
      <c r="A79">
        <v>91</v>
      </c>
      <c r="B79" t="s">
        <v>74</v>
      </c>
      <c r="C79" s="80">
        <v>14444</v>
      </c>
      <c r="D79" s="80">
        <v>170494360663</v>
      </c>
      <c r="E79" s="80">
        <v>281716</v>
      </c>
      <c r="F79" s="82">
        <v>974.76450460759099</v>
      </c>
      <c r="G79" s="80">
        <v>41692465</v>
      </c>
      <c r="H79" s="80">
        <v>22134700</v>
      </c>
      <c r="I79" s="80">
        <v>40897446</v>
      </c>
      <c r="J79" s="80">
        <v>21537995</v>
      </c>
      <c r="K79" s="80">
        <v>43692522</v>
      </c>
      <c r="L79" s="80">
        <v>23198974</v>
      </c>
      <c r="M79" s="80">
        <v>40608341</v>
      </c>
      <c r="N79" s="80">
        <v>21906385</v>
      </c>
      <c r="O79">
        <f t="shared" si="9"/>
        <v>166890774</v>
      </c>
      <c r="P79">
        <f t="shared" si="10"/>
        <v>88778054</v>
      </c>
      <c r="Q79" s="3">
        <f t="shared" si="13"/>
        <v>78112720</v>
      </c>
      <c r="R79" s="2">
        <f t="shared" si="11"/>
        <v>0.53195303654113324</v>
      </c>
      <c r="S79" s="1">
        <f t="shared" si="12"/>
        <v>8.4718344605837624E-8</v>
      </c>
    </row>
    <row r="80" spans="1:20" x14ac:dyDescent="0.25">
      <c r="A80">
        <v>93</v>
      </c>
      <c r="B80" t="s">
        <v>75</v>
      </c>
      <c r="C80" s="80">
        <v>9201</v>
      </c>
      <c r="D80" s="80">
        <v>52673882698</v>
      </c>
      <c r="E80" s="80">
        <v>101455</v>
      </c>
      <c r="F80" s="82">
        <v>976.16263883175645</v>
      </c>
      <c r="G80" s="80">
        <v>6172055</v>
      </c>
      <c r="H80" s="80">
        <v>3388737</v>
      </c>
      <c r="I80" s="80">
        <v>6897460</v>
      </c>
      <c r="J80" s="80">
        <v>3747075</v>
      </c>
      <c r="K80" s="80">
        <v>9035446</v>
      </c>
      <c r="L80" s="80">
        <v>4924156</v>
      </c>
      <c r="M80" s="80">
        <v>8280779</v>
      </c>
      <c r="N80" s="80">
        <v>4437314</v>
      </c>
      <c r="O80">
        <f t="shared" si="9"/>
        <v>30385740</v>
      </c>
      <c r="P80">
        <f t="shared" si="10"/>
        <v>16497282</v>
      </c>
      <c r="Q80" s="3">
        <f t="shared" si="13"/>
        <v>13888458</v>
      </c>
      <c r="R80" s="2">
        <f t="shared" si="11"/>
        <v>0.54292842629470273</v>
      </c>
      <c r="S80" s="1">
        <f t="shared" si="12"/>
        <v>1.7467859836254974E-7</v>
      </c>
    </row>
    <row r="81" spans="1:19" x14ac:dyDescent="0.25">
      <c r="A81">
        <v>94</v>
      </c>
      <c r="B81" t="s">
        <v>76</v>
      </c>
      <c r="C81" s="80">
        <v>6461</v>
      </c>
      <c r="D81" s="80">
        <v>30693323810</v>
      </c>
      <c r="E81" s="80">
        <v>52967</v>
      </c>
      <c r="F81" s="82">
        <v>977.01255409825228</v>
      </c>
      <c r="G81" s="80">
        <v>141210</v>
      </c>
      <c r="H81" s="80">
        <v>126210</v>
      </c>
      <c r="I81" s="80">
        <v>199468</v>
      </c>
      <c r="J81" s="80">
        <v>168956</v>
      </c>
      <c r="K81" s="80">
        <v>125276</v>
      </c>
      <c r="L81" s="80">
        <v>113289</v>
      </c>
      <c r="M81" s="80">
        <v>145906</v>
      </c>
      <c r="N81" s="80">
        <v>94270</v>
      </c>
      <c r="O81">
        <f t="shared" si="9"/>
        <v>611860</v>
      </c>
      <c r="P81">
        <f t="shared" si="10"/>
        <v>502725</v>
      </c>
      <c r="Q81" s="3">
        <f t="shared" si="13"/>
        <v>109135</v>
      </c>
      <c r="R81" s="2">
        <f t="shared" si="11"/>
        <v>0.82163403392933021</v>
      </c>
      <c r="S81" s="1">
        <f t="shared" si="12"/>
        <v>2.1050180293262934E-7</v>
      </c>
    </row>
    <row r="82" spans="1:19" x14ac:dyDescent="0.25">
      <c r="A82">
        <v>99</v>
      </c>
      <c r="B82" t="s">
        <v>128</v>
      </c>
      <c r="G82" s="80">
        <v>1521786241.74</v>
      </c>
      <c r="H82" s="80">
        <v>816023883.74000001</v>
      </c>
      <c r="I82" s="80">
        <v>1495135714.8499999</v>
      </c>
      <c r="J82" s="80">
        <v>800687584.61999989</v>
      </c>
      <c r="K82" s="80">
        <v>1501961623</v>
      </c>
      <c r="L82" s="80">
        <v>799288037.98449993</v>
      </c>
      <c r="M82" s="80">
        <v>1622866641</v>
      </c>
      <c r="N82" s="80">
        <v>851480656.25</v>
      </c>
      <c r="O82" s="1">
        <f t="shared" si="9"/>
        <v>6141750220.5900002</v>
      </c>
      <c r="P82" s="1">
        <f t="shared" si="10"/>
        <v>3267480162.5944996</v>
      </c>
      <c r="Q82" s="3">
        <f t="shared" ref="Q82" si="14">O82-P82</f>
        <v>2874270057.9955006</v>
      </c>
      <c r="R82" s="2">
        <f t="shared" si="11"/>
        <v>0.53201124194865301</v>
      </c>
    </row>
    <row r="83" spans="1:19" x14ac:dyDescent="0.25">
      <c r="H83" s="1"/>
      <c r="I83" s="1"/>
      <c r="J83" s="1"/>
      <c r="K83" s="1"/>
      <c r="L83" s="1"/>
      <c r="M83" s="1"/>
      <c r="N83" s="1"/>
      <c r="O83" s="1"/>
      <c r="P83" s="1"/>
      <c r="Q83" s="3"/>
      <c r="R83" s="2"/>
    </row>
  </sheetData>
  <sheetProtection sheet="1" objects="1" scenarios="1"/>
  <hyperlinks>
    <hyperlink ref="A1" location="'read me'!A1" display="read me"/>
    <hyperlink ref="A2" location="Calculation!A1" display="Calculation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Read Me</vt:lpstr>
      <vt:lpstr>Calculation</vt:lpstr>
      <vt:lpstr>Model</vt:lpstr>
      <vt:lpstr>Inputs</vt:lpstr>
      <vt:lpstr>AOName</vt:lpstr>
      <vt:lpstr>Calculation!Print_Area</vt:lpstr>
      <vt:lpstr>'Read Me'!Print_Area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Sandy Fong</cp:lastModifiedBy>
  <dcterms:created xsi:type="dcterms:W3CDTF">2013-12-23T02:29:24Z</dcterms:created>
  <dcterms:modified xsi:type="dcterms:W3CDTF">2014-11-24T23:08:46Z</dcterms:modified>
</cp:coreProperties>
</file>